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525" tabRatio="923" firstSheet="10" activeTab="14"/>
  </bookViews>
  <sheets>
    <sheet name="O&amp;M (stat)" sheetId="1" state="hidden" r:id="rId1"/>
    <sheet name="I" sheetId="2" r:id="rId2"/>
    <sheet name="1.0" sheetId="3" r:id="rId3"/>
    <sheet name="1a(RRB)" sheetId="4" r:id="rId4"/>
    <sheet name="1b" sheetId="5" r:id="rId5"/>
    <sheet name="1c (Rev.)" sheetId="6" r:id="rId6"/>
    <sheet name="1.1(i) (BS)" sheetId="7" r:id="rId7"/>
    <sheet name="1.2 (CFS)" sheetId="8" r:id="rId8"/>
    <sheet name="1.1a(GFA)" sheetId="9" r:id="rId9"/>
    <sheet name="1.1b (Dep)" sheetId="10" r:id="rId10"/>
    <sheet name="1.1c(CWIP)" sheetId="11" r:id="rId11"/>
    <sheet name="1.1d" sheetId="12" r:id="rId12"/>
    <sheet name="1.1e" sheetId="13" r:id="rId13"/>
    <sheet name="1.1g(Loan)" sheetId="14" r:id="rId14"/>
    <sheet name="1.1g(i) (2)" sheetId="15" r:id="rId15"/>
    <sheet name="1.1h(FL)" sheetId="16" r:id="rId16"/>
    <sheet name="1.1j(CA)" sheetId="17" r:id="rId17"/>
    <sheet name="1.1k(CL)" sheetId="18" r:id="rId18"/>
    <sheet name="1.1m(cap)" sheetId="19" r:id="rId19"/>
    <sheet name="1.1n(Res.)" sheetId="20" r:id="rId20"/>
    <sheet name="SLDC" sheetId="21" state="hidden" r:id="rId21"/>
    <sheet name="O&amp;M" sheetId="22" r:id="rId22"/>
    <sheet name="1.3a((O&amp;M)" sheetId="23" r:id="rId23"/>
    <sheet name="1.3(i)" sheetId="24" r:id="rId24"/>
    <sheet name="1.3i" sheetId="25" r:id="rId25"/>
    <sheet name="3.3" sheetId="26" r:id="rId26"/>
    <sheet name="7(Cont.)" sheetId="27" r:id="rId27"/>
    <sheet name="8" sheetId="28" r:id="rId28"/>
    <sheet name="9" sheetId="29" r:id="rId29"/>
    <sheet name="10 (NTI)" sheetId="30" r:id="rId30"/>
    <sheet name="IDC CAL" sheetId="31" state="hidden" r:id="rId31"/>
    <sheet name="pnl_bs" sheetId="32" state="hidden" r:id="rId32"/>
    <sheet name="emp_adm" sheetId="33" state="hidden" r:id="rId33"/>
  </sheets>
  <externalReferences>
    <externalReference r:id="rId36"/>
    <externalReference r:id="rId37"/>
  </externalReferences>
  <definedNames>
    <definedName name="_xlnm.Print_Area" localSheetId="2">'1.0'!$A$1:$H$21</definedName>
    <definedName name="_xlnm.Print_Area" localSheetId="6">'1.1(i) (BS)'!$A$2:$H$37</definedName>
    <definedName name="_xlnm.Print_Area" localSheetId="8">'1.1a(GFA)'!$A$1:$G$3</definedName>
    <definedName name="_xlnm.Print_Area" localSheetId="9">'1.1b (Dep)'!$A$1:$K$192</definedName>
    <definedName name="_xlnm.Print_Area" localSheetId="10">'1.1c(CWIP)'!$A$1:$H$21</definedName>
    <definedName name="_xlnm.Print_Area" localSheetId="12">'1.1e'!$A$1:$M$18</definedName>
    <definedName name="_xlnm.Print_Area" localSheetId="13">'1.1g(Loan)'!$A$1:$R$2</definedName>
    <definedName name="_xlnm.Print_Area" localSheetId="16">'1.1j(CA)'!$A$1:$H$16</definedName>
    <definedName name="_xlnm.Print_Area" localSheetId="17">'1.1k(CL)'!$A$1:$H$24</definedName>
    <definedName name="_xlnm.Print_Area" localSheetId="18">'1.1m(cap)'!$A$1:$H$26</definedName>
    <definedName name="_xlnm.Print_Area" localSheetId="19">'1.1n(Res.)'!$A$1:$H$20</definedName>
    <definedName name="_xlnm.Print_Area" localSheetId="7">'1.2 (CFS)'!$A$1:$H$43</definedName>
    <definedName name="_xlnm.Print_Area" localSheetId="23">'1.3(i)'!$A$1:$H$7</definedName>
    <definedName name="_xlnm.Print_Area" localSheetId="22">'1.3a((O&amp;M)'!$A$1:$E$58</definedName>
    <definedName name="_xlnm.Print_Area" localSheetId="24">'1.3i'!$A$1:$H$10</definedName>
    <definedName name="_xlnm.Print_Area" localSheetId="29">'10 (NTI)'!$A$1:$H$13</definedName>
    <definedName name="_xlnm.Print_Area" localSheetId="3">'1a(RRB)'!$A$1:$H$18</definedName>
    <definedName name="_xlnm.Print_Area" localSheetId="4">'1b'!$A$1:$H$11</definedName>
    <definedName name="_xlnm.Print_Area" localSheetId="5">'1c (Rev.)'!$A$1:$H$12</definedName>
    <definedName name="_xlnm.Print_Area" localSheetId="25">'3.3'!$A$1:$H$7</definedName>
    <definedName name="_xlnm.Print_Area" localSheetId="26">'7(Cont.)'!$A$1:$G$46</definedName>
    <definedName name="_xlnm.Print_Area" localSheetId="27">'8'!$A$1:$H$8</definedName>
    <definedName name="_xlnm.Print_Area" localSheetId="28">'9'!$A$1:$H$9</definedName>
    <definedName name="_xlnm.Print_Area" localSheetId="21">'O&amp;M'!$A$1:$L$26</definedName>
    <definedName name="_xlnm.Print_Area" localSheetId="0">'O&amp;M (stat)'!$A$1:$L$26</definedName>
    <definedName name="_xlnm.Print_Area" localSheetId="20">'SLDC'!$A$1:$M$16</definedName>
  </definedNames>
  <calcPr fullCalcOnLoad="1"/>
</workbook>
</file>

<file path=xl/sharedStrings.xml><?xml version="1.0" encoding="utf-8"?>
<sst xmlns="http://schemas.openxmlformats.org/spreadsheetml/2006/main" count="4703" uniqueCount="986">
  <si>
    <t>Particulars</t>
  </si>
  <si>
    <t>Operation and Maintenance Charges</t>
  </si>
  <si>
    <t>Depreciation</t>
  </si>
  <si>
    <t>Advance Against Depreciation</t>
  </si>
  <si>
    <t>Taxes on Income</t>
  </si>
  <si>
    <t>Other Expenditure</t>
  </si>
  <si>
    <t>Special Appropriations</t>
  </si>
  <si>
    <t>Total Expenditure</t>
  </si>
  <si>
    <t>Less: O&amp;M expenses capitalized</t>
  </si>
  <si>
    <t>Net Expenditure</t>
  </si>
  <si>
    <t>Add: Return on Capital Employed</t>
  </si>
  <si>
    <t>Total Revenue Requirement transferred to Retail supply business</t>
  </si>
  <si>
    <t>*To be provided only if included as part of Total expenditure</t>
  </si>
  <si>
    <t>D Link</t>
  </si>
  <si>
    <t>2008-09</t>
  </si>
  <si>
    <t>2009-10</t>
  </si>
  <si>
    <t>2011-12</t>
  </si>
  <si>
    <t>2012-13</t>
  </si>
  <si>
    <t>2013-14</t>
  </si>
  <si>
    <t>2014-15</t>
  </si>
  <si>
    <t>2015-16</t>
  </si>
  <si>
    <t>2016-17</t>
  </si>
  <si>
    <t>2017-18</t>
  </si>
  <si>
    <t>2018-19</t>
  </si>
  <si>
    <t>Form 1a - Regulated Rate Base</t>
  </si>
  <si>
    <t xml:space="preserve">This form pertains to the rate base calculation </t>
  </si>
  <si>
    <t xml:space="preserve"> Assets</t>
  </si>
  <si>
    <t>OCFA Opening Balance</t>
  </si>
  <si>
    <t xml:space="preserve">Additions to OCFA </t>
  </si>
  <si>
    <t>Opening Balance</t>
  </si>
  <si>
    <t>Depreciation during the Year</t>
  </si>
  <si>
    <t xml:space="preserve">Consumer Contributions </t>
  </si>
  <si>
    <t xml:space="preserve"> Cons Contributions Opening Balance</t>
  </si>
  <si>
    <t xml:space="preserve"> Additions to Cons Contributions </t>
  </si>
  <si>
    <t xml:space="preserve"> Working Capital </t>
  </si>
  <si>
    <t xml:space="preserve"> Change in Rate Base  </t>
  </si>
  <si>
    <t xml:space="preserve"> Regulated Rate Base  </t>
  </si>
  <si>
    <t>Form 1b - Capital Structure</t>
  </si>
  <si>
    <t>This form pertains to the calculation of the Weighted Average Cost of capital</t>
  </si>
  <si>
    <t>Capital Structure</t>
  </si>
  <si>
    <t>Debt Percent</t>
  </si>
  <si>
    <t xml:space="preserve">Equity percent </t>
  </si>
  <si>
    <t xml:space="preserve"> Cost of Funds</t>
  </si>
  <si>
    <t xml:space="preserve"> Cost of Debt percent </t>
  </si>
  <si>
    <t xml:space="preserve"> Return on Equity percent </t>
  </si>
  <si>
    <t>WACC</t>
  </si>
  <si>
    <t>Form 1c - Revenue</t>
  </si>
  <si>
    <t>Capacity (MW)</t>
  </si>
  <si>
    <t>CPDCL</t>
  </si>
  <si>
    <t>EPDCL</t>
  </si>
  <si>
    <t>NPDCL</t>
  </si>
  <si>
    <t>SPDCL</t>
  </si>
  <si>
    <t>Others (Third Party /Open Access)</t>
  </si>
  <si>
    <t>Revenue</t>
  </si>
  <si>
    <t>Transmission Charges (Rs/kW/month)</t>
  </si>
  <si>
    <t>Form 1.1(i) - BALANCE SHEET</t>
  </si>
  <si>
    <t>Gross Fixed Assets</t>
  </si>
  <si>
    <r>
      <t>Less:</t>
    </r>
    <r>
      <rPr>
        <sz val="10"/>
        <rFont val="Arial"/>
        <family val="0"/>
      </rPr>
      <t xml:space="preserve"> Accumulated Depreciation</t>
    </r>
  </si>
  <si>
    <t>Net Fixed Assets</t>
  </si>
  <si>
    <t>Capital Expenditure-in-progress</t>
  </si>
  <si>
    <t>Assets not in use</t>
  </si>
  <si>
    <t>Investments</t>
  </si>
  <si>
    <t>Current Assets</t>
  </si>
  <si>
    <t>Stocks</t>
  </si>
  <si>
    <t>Receivables</t>
  </si>
  <si>
    <t>Cash and Bank balances</t>
  </si>
  <si>
    <t>Loans &amp; Advances</t>
  </si>
  <si>
    <t>Other receivables</t>
  </si>
  <si>
    <t xml:space="preserve">Miscellaneous Expenditure </t>
  </si>
  <si>
    <t>Others</t>
  </si>
  <si>
    <t xml:space="preserve">Equity </t>
  </si>
  <si>
    <t>Reserves</t>
  </si>
  <si>
    <t>Foreign Loans</t>
  </si>
  <si>
    <t>Other working capital borrowings</t>
  </si>
  <si>
    <t>Current Liabilities</t>
  </si>
  <si>
    <t>Payment due on Capital Liabilities</t>
  </si>
  <si>
    <t>Surplus/(Deficit)</t>
  </si>
  <si>
    <t>ASSETS:</t>
  </si>
  <si>
    <t>LIABILITIES:</t>
  </si>
  <si>
    <t xml:space="preserve">Form 1.1 a - GROSS FIXED ASSETS </t>
  </si>
  <si>
    <t>Asset Particulars</t>
  </si>
  <si>
    <t>Land &amp; land rights</t>
  </si>
  <si>
    <t>Buildings</t>
  </si>
  <si>
    <t>Intangible Assets</t>
  </si>
  <si>
    <t>Hydraulic Works</t>
  </si>
  <si>
    <t>Other civil works</t>
  </si>
  <si>
    <t>Plant &amp; Machinery</t>
  </si>
  <si>
    <t>Plant and Machinery - 400 kV</t>
  </si>
  <si>
    <t>Plant and Machinery - 220 kV</t>
  </si>
  <si>
    <t>Plant and Machinery - 132 kV</t>
  </si>
  <si>
    <t>Material Handling Equipments</t>
  </si>
  <si>
    <t>Construction Equipments</t>
  </si>
  <si>
    <t>Miscellaneous Equipments</t>
  </si>
  <si>
    <t>Line Cable Network</t>
  </si>
  <si>
    <t>Line Cable Network - 400kV</t>
  </si>
  <si>
    <t>Line Cable Network - 220kV</t>
  </si>
  <si>
    <t>Line Cable Network - 132kV</t>
  </si>
  <si>
    <t>Vehicles</t>
  </si>
  <si>
    <t>Furniture &amp; Fixtures</t>
  </si>
  <si>
    <t>Office Equipment</t>
  </si>
  <si>
    <t>Fully Depreciated Fixed Assets</t>
  </si>
  <si>
    <t xml:space="preserve">Spare Units/ Service units </t>
  </si>
  <si>
    <t>Total</t>
  </si>
  <si>
    <t>At the beginning of the year</t>
  </si>
  <si>
    <t>Additions during the year</t>
  </si>
  <si>
    <t>Adjustment &amp; deductions</t>
  </si>
  <si>
    <t>At the end of the year</t>
  </si>
  <si>
    <t>Remarks</t>
  </si>
  <si>
    <t>2010-11</t>
  </si>
  <si>
    <t xml:space="preserve">Form 1.1 b - ACCUMULATED DEPRECIATION </t>
  </si>
  <si>
    <t>Please fill in the required details pertaining to each year</t>
  </si>
  <si>
    <t xml:space="preserve">Grand Total </t>
  </si>
  <si>
    <t>Balance of accumulated depreciation at the beginning of the year</t>
  </si>
  <si>
    <t>Balance of arrears of depreciation at the beginning of the year</t>
  </si>
  <si>
    <t>Withdrawals  during the year</t>
  </si>
  <si>
    <t>Balance of accumulated depreciation at the end of the year</t>
  </si>
  <si>
    <t>Balance of arrears of depreciation at the end of the year</t>
  </si>
  <si>
    <t>Rate of depreciation</t>
  </si>
  <si>
    <t>Depreciation provided for the year</t>
  </si>
  <si>
    <t>Arrears of depreciation written off during the year</t>
  </si>
  <si>
    <t>This form pertains to the Capital Work in Progress</t>
  </si>
  <si>
    <t>Opening balance of CWIP</t>
  </si>
  <si>
    <t>Add: New Investment*</t>
  </si>
  <si>
    <t>Add: Capitalisation*</t>
  </si>
  <si>
    <r>
      <t>Less</t>
    </r>
    <r>
      <rPr>
        <sz val="10"/>
        <rFont val="Arial"/>
        <family val="2"/>
      </rPr>
      <t xml:space="preserve"> : Investment Capitalised</t>
    </r>
  </si>
  <si>
    <t>Closing balance of CWIP</t>
  </si>
  <si>
    <t>Form 1.1k - CURRENT LIABILITIES</t>
  </si>
  <si>
    <t>This form refers to the total current liabilities in a particular year</t>
  </si>
  <si>
    <t>PARTICULARS</t>
  </si>
  <si>
    <t>Deposits and retentions from suppliers and contractors</t>
  </si>
  <si>
    <t>Form 10 - Non Tariff Income</t>
  </si>
  <si>
    <t>This form captures the Total Non-tariff income during a particular year</t>
  </si>
  <si>
    <t>Form 9</t>
  </si>
  <si>
    <t>Items of Non - Tariff Income (Rs. Crs.)</t>
  </si>
  <si>
    <t>Revenue Surplus / (deficit) at Proposed tariffs</t>
  </si>
  <si>
    <t>Form 8</t>
  </si>
  <si>
    <t>Revenue Surplus / (deficit) at current tariffs</t>
  </si>
  <si>
    <t xml:space="preserve">Form 7.0 - Consumer Contributions and Grants </t>
  </si>
  <si>
    <t>This form pertains to the Contribution and Grants in a particular year</t>
  </si>
  <si>
    <t xml:space="preserve">Opening Balance at the beginning of the year </t>
  </si>
  <si>
    <t>Deductions during the year</t>
  </si>
  <si>
    <t>Closing Balance at the End of the Year</t>
  </si>
  <si>
    <t>Consumer Contributions</t>
  </si>
  <si>
    <t>Grants</t>
  </si>
  <si>
    <t>Form 3.3 - Transmission Losses</t>
  </si>
  <si>
    <t xml:space="preserve">Lower Value of the Band </t>
  </si>
  <si>
    <t xml:space="preserve">Average Transmission Loss </t>
  </si>
  <si>
    <t xml:space="preserve">Upper Value of the Band </t>
  </si>
  <si>
    <t>Form 1.3i - Other Expenses</t>
  </si>
  <si>
    <t>Special appropriations 
(debt redemption obligation, etc)</t>
  </si>
  <si>
    <t>TOTAL OTHER EXPENSES</t>
  </si>
  <si>
    <t>Form 1.3(i) - WORKING CAPITAL</t>
  </si>
  <si>
    <t>O&amp;M expenses</t>
  </si>
  <si>
    <t>O&amp;M Stores</t>
  </si>
  <si>
    <t>Working Capital Requirement (1/8th of total O&amp;M Expenses+ O&amp;M Stores)</t>
  </si>
  <si>
    <t>Form 1.3a - Operation and Maintenance Expenses</t>
  </si>
  <si>
    <t>This form pertains to the Operation and Maintenance Expenses during a particular year</t>
  </si>
  <si>
    <t>Code</t>
  </si>
  <si>
    <t>D-Link</t>
  </si>
  <si>
    <t>TOTAL O&amp;M Expenses</t>
  </si>
  <si>
    <r>
      <t xml:space="preserve">Line Length </t>
    </r>
    <r>
      <rPr>
        <sz val="10"/>
        <rFont val="Arial"/>
        <family val="2"/>
      </rPr>
      <t>ckt-km</t>
    </r>
  </si>
  <si>
    <t>S.No.</t>
  </si>
  <si>
    <t>Title</t>
  </si>
  <si>
    <t>Form No.</t>
  </si>
  <si>
    <t>Non-Tariff Income</t>
  </si>
  <si>
    <t>Revenue Requiement</t>
  </si>
  <si>
    <t>Regulated Rate Base</t>
  </si>
  <si>
    <t>Wheeling Revenue from Third Party/Open Access</t>
  </si>
  <si>
    <t>Balance Sheet</t>
  </si>
  <si>
    <t>Accumulated Depreciation</t>
  </si>
  <si>
    <t>Capital Work in Progress</t>
  </si>
  <si>
    <t>Investment Plan</t>
  </si>
  <si>
    <t>Voltage wise Asset Base</t>
  </si>
  <si>
    <t>New Loans</t>
  </si>
  <si>
    <t>Loans</t>
  </si>
  <si>
    <t>Foreign Currency Loans &amp; Credit</t>
  </si>
  <si>
    <t>DISCOM Contracts</t>
  </si>
  <si>
    <t>Cash Flow Statement</t>
  </si>
  <si>
    <t>Operation and Maintenance Expenses</t>
  </si>
  <si>
    <t>Working Capital</t>
  </si>
  <si>
    <t>Other Expenses</t>
  </si>
  <si>
    <t>Transmission Losses</t>
  </si>
  <si>
    <t>Contributions and Grants</t>
  </si>
  <si>
    <t>Revenue Surplus/(Deficit) at Current Tariffs</t>
  </si>
  <si>
    <t>Revenue Surplus/(Deficit) at Proposed Tariffs</t>
  </si>
  <si>
    <t>1a</t>
  </si>
  <si>
    <t>1b</t>
  </si>
  <si>
    <t>1c</t>
  </si>
  <si>
    <t>1.1(i)</t>
  </si>
  <si>
    <t>1.1a</t>
  </si>
  <si>
    <t>1.1b</t>
  </si>
  <si>
    <t>1.1c</t>
  </si>
  <si>
    <t>1.1d</t>
  </si>
  <si>
    <t>1.1e</t>
  </si>
  <si>
    <t>1.1g(i)</t>
  </si>
  <si>
    <t xml:space="preserve">1.1g </t>
  </si>
  <si>
    <t>1.1h</t>
  </si>
  <si>
    <t>1.1j</t>
  </si>
  <si>
    <t>1.1k</t>
  </si>
  <si>
    <t>1.1m</t>
  </si>
  <si>
    <t>1.1n</t>
  </si>
  <si>
    <t>1.3a</t>
  </si>
  <si>
    <t>1.3(i)</t>
  </si>
  <si>
    <t>1.3i</t>
  </si>
  <si>
    <t>Amount</t>
  </si>
  <si>
    <t>Number of Substations</t>
  </si>
  <si>
    <r>
      <t>O&amp;M Expenses per Line Length</t>
    </r>
    <r>
      <rPr>
        <vertAlign val="subscript"/>
        <sz val="10"/>
        <rFont val="Arial"/>
        <family val="2"/>
      </rPr>
      <t xml:space="preserve"> </t>
    </r>
    <r>
      <rPr>
        <sz val="10"/>
        <rFont val="Arial"/>
        <family val="2"/>
      </rPr>
      <t xml:space="preserve"> </t>
    </r>
  </si>
  <si>
    <t xml:space="preserve">O&amp;M Expenses per Sub Station </t>
  </si>
  <si>
    <t>Form : 1.2 - Cash Flow Statement</t>
  </si>
  <si>
    <t>Cash Flows from Operating Activities</t>
  </si>
  <si>
    <t xml:space="preserve">Adjustments for depreciation </t>
  </si>
  <si>
    <t xml:space="preserve">Adjustment for employee terminal benefits </t>
  </si>
  <si>
    <t>Operating income before working capital charges</t>
  </si>
  <si>
    <t>Decrease / (increase) in trade and other receivables</t>
  </si>
  <si>
    <t>Decrease / (increase) in inventories</t>
  </si>
  <si>
    <t>Cash generated from operations</t>
  </si>
  <si>
    <t>Provision for Income Tax</t>
  </si>
  <si>
    <t>Extraordinary gain / (loss)</t>
  </si>
  <si>
    <t>Net cash from generated from operating activities</t>
  </si>
  <si>
    <t>Cash Flows from Investing Activities</t>
  </si>
  <si>
    <t>Acquisition of subsidiary</t>
  </si>
  <si>
    <t>Purchase of Fixed Assets (Including Interest capitalised)</t>
  </si>
  <si>
    <t>Reserves in Government Bonds</t>
  </si>
  <si>
    <t>Interest received</t>
  </si>
  <si>
    <t>Dividends received</t>
  </si>
  <si>
    <t>Net cash used in (from) investment activities</t>
  </si>
  <si>
    <t>Cash Flows from Financing Activities</t>
  </si>
  <si>
    <t>Proceeds from issuance of share capital</t>
  </si>
  <si>
    <t>Proceeds from Long Term Debt</t>
  </si>
  <si>
    <t>Repayment of long term debt</t>
  </si>
  <si>
    <t>Interest Paid</t>
  </si>
  <si>
    <t>Dividends paid</t>
  </si>
  <si>
    <t>Net cash from (used in) financing activities</t>
  </si>
  <si>
    <t>Net Change in Cash Equivalents</t>
  </si>
  <si>
    <t>Cash and Cash Equivalents at Beginning of Year</t>
  </si>
  <si>
    <t>Cash and Cash Equivalents at End of Year</t>
  </si>
  <si>
    <t>Form 1.1n - RESERVES</t>
  </si>
  <si>
    <t>This form pertains to the total reserves in a particular year</t>
  </si>
  <si>
    <t>Consumer Contributions and Grants</t>
  </si>
  <si>
    <t>Contingency Reserve</t>
  </si>
  <si>
    <t>Form 1.1m - Discom Contracts</t>
  </si>
  <si>
    <t>Contracted Demand (MW)</t>
  </si>
  <si>
    <t>Coincident Peak Demand (MW)</t>
  </si>
  <si>
    <t>Non coincident Peak Demand (MW)</t>
  </si>
  <si>
    <t>APEPDCL</t>
  </si>
  <si>
    <t>APNPDCL</t>
  </si>
  <si>
    <t>APSPDCL</t>
  </si>
  <si>
    <t>Form 1.1j - CURRENT ASSETS</t>
  </si>
  <si>
    <t>This form refers to the total current assets</t>
  </si>
  <si>
    <t xml:space="preserve">Form 1.1h - FOREIGN CURRENCY LOANS &amp; CREDIT </t>
  </si>
  <si>
    <t>This form pertains to the Total Foreign Currency Loans and Debentures</t>
  </si>
  <si>
    <t>Amount in Rs. Crores</t>
  </si>
  <si>
    <t>Loan Type</t>
  </si>
  <si>
    <t>Loan Agency (Source of Loan)</t>
  </si>
  <si>
    <t>Reason for incurring Loan*</t>
  </si>
  <si>
    <t>Related Project Code</t>
  </si>
  <si>
    <t>Tenure of Loan (in years)</t>
  </si>
  <si>
    <t>Currency of Loan</t>
  </si>
  <si>
    <t>Amount sanctioned (in FCY)</t>
  </si>
  <si>
    <t>Initial Exchange Rate</t>
  </si>
  <si>
    <t>Current Exchange Rate</t>
  </si>
  <si>
    <t>Moratorium Period (in years)</t>
  </si>
  <si>
    <t>Rate of Interest</t>
  </si>
  <si>
    <t>Balance at the beginning of the year</t>
  </si>
  <si>
    <t>Amount received during the year</t>
  </si>
  <si>
    <t>Amount redeemed during the year</t>
  </si>
  <si>
    <t>Balance outstanding at the end of the year</t>
  </si>
  <si>
    <t>Interest Expense incurred during the year</t>
  </si>
  <si>
    <t>Interest Expense paid till end of the year</t>
  </si>
  <si>
    <t>Interest payment defaulted on</t>
  </si>
  <si>
    <t>Principle payment defaulted on</t>
  </si>
  <si>
    <t>Pcode</t>
  </si>
  <si>
    <t>Loan Code</t>
  </si>
  <si>
    <t>Secured Loans</t>
  </si>
  <si>
    <t>Unsecured Loans</t>
  </si>
  <si>
    <t>Year of Sanction (DD-MM-YY)</t>
  </si>
  <si>
    <t>Form 1.1g - Loans</t>
  </si>
  <si>
    <t>INDIAN LOANS &amp; DEBENTURES</t>
  </si>
  <si>
    <t>Account Code</t>
  </si>
  <si>
    <t>Loan Code*</t>
  </si>
  <si>
    <t>Year of incurring loan</t>
  </si>
  <si>
    <t>Bonds</t>
  </si>
  <si>
    <t>Debentures</t>
  </si>
  <si>
    <t>Funds from State Government</t>
  </si>
  <si>
    <t>Other Secured Loans</t>
  </si>
  <si>
    <t>REC</t>
  </si>
  <si>
    <t>PFC</t>
  </si>
  <si>
    <t>Unsecured Loans:</t>
  </si>
  <si>
    <t>Secured Loans:</t>
  </si>
  <si>
    <t>Grand Total:</t>
  </si>
  <si>
    <t>Federal Bank</t>
  </si>
  <si>
    <t>Canara Bank</t>
  </si>
  <si>
    <t>Oriental Bank of Commerce</t>
  </si>
  <si>
    <t>Andhra Bank</t>
  </si>
  <si>
    <t>Syndicate Bank</t>
  </si>
  <si>
    <t>Karur Vysya Bank</t>
  </si>
  <si>
    <t>Bank of Baroda</t>
  </si>
  <si>
    <t>Bank of Maharashtra</t>
  </si>
  <si>
    <t>Punjab &amp; Sind Bank</t>
  </si>
  <si>
    <t>Allahabad Bank</t>
  </si>
  <si>
    <t>Bank of Rajasthan</t>
  </si>
  <si>
    <t>Karnataka Bank Ltd.</t>
  </si>
  <si>
    <t>Corporation Bank</t>
  </si>
  <si>
    <t>Union Bank of India</t>
  </si>
  <si>
    <t>United Bank of India</t>
  </si>
  <si>
    <t>UCO Bank</t>
  </si>
  <si>
    <t>NABARD</t>
  </si>
  <si>
    <t>South Indian Bank</t>
  </si>
  <si>
    <t>LIC</t>
  </si>
  <si>
    <t>VLC</t>
  </si>
  <si>
    <t>Tenure of Loan 
  (in years)</t>
  </si>
  <si>
    <t>Loan Agency 
(Source of Loan)</t>
  </si>
  <si>
    <t>Material Stock and Related Accounts</t>
  </si>
  <si>
    <t>Cash and Bank Balances</t>
  </si>
  <si>
    <t>Loans and Advances</t>
  </si>
  <si>
    <t>Other Current Assets</t>
  </si>
  <si>
    <t>Liabilities for Purchase of Power</t>
  </si>
  <si>
    <t>Liabilities for Capital Works</t>
  </si>
  <si>
    <t>Liability for O&amp;M Supplies</t>
  </si>
  <si>
    <t>Staff Related Liabilities</t>
  </si>
  <si>
    <t>Other Liabilities and Provisions</t>
  </si>
  <si>
    <t>Govt. of Andhra Pradesh</t>
  </si>
  <si>
    <t>Form 1.1d - INVESTMENT PLAN</t>
  </si>
  <si>
    <t xml:space="preserve">This form captures investments as planned and actually incurred </t>
  </si>
  <si>
    <t>Project Details</t>
  </si>
  <si>
    <t>PLANNED CAPITAL EXPENDITURE</t>
  </si>
  <si>
    <t xml:space="preserve">SOURCE OF FINANCING </t>
  </si>
  <si>
    <t>Investments proposed for the year</t>
  </si>
  <si>
    <t>Investments incurred in the year</t>
  </si>
  <si>
    <t>CUMULATIVE EXPENDITURE</t>
  </si>
  <si>
    <t>Cumulative progress (Year on year)</t>
  </si>
  <si>
    <t>Project Code*</t>
  </si>
  <si>
    <t>Project Title</t>
  </si>
  <si>
    <t>Project Purpose**</t>
  </si>
  <si>
    <t>Base Cost</t>
  </si>
  <si>
    <t>Contigency</t>
  </si>
  <si>
    <t>IDC</t>
  </si>
  <si>
    <t>Duties</t>
  </si>
  <si>
    <t>Taxes</t>
  </si>
  <si>
    <t>Expense capitalised</t>
  </si>
  <si>
    <t>Internal Accrual Component of capex in year</t>
  </si>
  <si>
    <t>Equity Component of capex in year</t>
  </si>
  <si>
    <t>Debt Component of capex in year</t>
  </si>
  <si>
    <t xml:space="preserve">Annual </t>
  </si>
  <si>
    <t>Loan Amount</t>
  </si>
  <si>
    <t>Interest Rate</t>
  </si>
  <si>
    <t>Moratorium Period</t>
  </si>
  <si>
    <t>Repayment Period</t>
  </si>
  <si>
    <t>Loan Source</t>
  </si>
  <si>
    <t>Proposed investment in the year (Rs Cr)</t>
  </si>
  <si>
    <t>Proposed IDC</t>
  </si>
  <si>
    <t>Proposed other expense</t>
  </si>
  <si>
    <t>Percentage capitalisation</t>
  </si>
  <si>
    <t>Actual investment in the year (Rs Cr)</t>
  </si>
  <si>
    <t>IDC Incurred</t>
  </si>
  <si>
    <t>Other expense incurred</t>
  </si>
  <si>
    <t>Total Cost</t>
  </si>
  <si>
    <t>Form 1.1(e)  - Voltage wise asset base</t>
  </si>
  <si>
    <t xml:space="preserve">This form refers to the gross and net asset base calculation </t>
  </si>
  <si>
    <t>Particulars*</t>
  </si>
  <si>
    <t>400 kV</t>
  </si>
  <si>
    <t>220 kV</t>
  </si>
  <si>
    <t>132 kV</t>
  </si>
  <si>
    <t>* Please provide voltage wise asset base details</t>
  </si>
  <si>
    <t>Form1.1 g(i) - New Loans</t>
  </si>
  <si>
    <t>Purpose</t>
  </si>
  <si>
    <t>Agency</t>
  </si>
  <si>
    <t>Agreed Interest Rate</t>
  </si>
  <si>
    <t>Moratorium Period 
(Years)</t>
  </si>
  <si>
    <t>Repayment period
(Years)</t>
  </si>
  <si>
    <t>Project Completion date 
 (DD-MM-YY)</t>
  </si>
  <si>
    <t>Project Start Date (DD-MM-YY)</t>
  </si>
  <si>
    <t>Total Assets</t>
  </si>
  <si>
    <t>Total Liabilities</t>
  </si>
  <si>
    <t>Total (i)+(ii) :</t>
  </si>
  <si>
    <t>(Rs. in crores)</t>
  </si>
  <si>
    <t>APCPDCL</t>
  </si>
  <si>
    <t>Short Term Loans from Banks</t>
  </si>
  <si>
    <t>Liability for expenses</t>
  </si>
  <si>
    <t>Accrued liability amounts relating to borrowings</t>
  </si>
  <si>
    <t>Sundry Payables - DISCOMs</t>
  </si>
  <si>
    <t>Interest on Staff loans and advances</t>
  </si>
  <si>
    <t>Income from investments</t>
  </si>
  <si>
    <t>Delayed payment charges from consumers</t>
  </si>
  <si>
    <t>Interest on Contingency Reserve investments</t>
  </si>
  <si>
    <t>Income from trading</t>
  </si>
  <si>
    <t>Rebate earned on payment of supplier bills</t>
  </si>
  <si>
    <t>Misc. Receipts</t>
  </si>
  <si>
    <t>Loan against Fixed Deposits</t>
  </si>
  <si>
    <t>ICICI</t>
  </si>
  <si>
    <t>Tamilnadu Mercantile Bank</t>
  </si>
  <si>
    <t>(Rs.in crores)</t>
  </si>
  <si>
    <t>Retained surplus</t>
  </si>
  <si>
    <t>Capital Reserve</t>
  </si>
  <si>
    <t>Foreign Exchange variation Reserve</t>
  </si>
  <si>
    <t>GIS Fund</t>
  </si>
  <si>
    <t>Others (Deferred Tax Liability)</t>
  </si>
  <si>
    <t>(i) Interest During Construction</t>
  </si>
  <si>
    <t>(ii) Expenses Capitalised</t>
  </si>
  <si>
    <t>OTHERS</t>
  </si>
  <si>
    <t>Other Debits</t>
  </si>
  <si>
    <t>Prior Period Items</t>
  </si>
  <si>
    <t>APSEB Bonds 2008</t>
  </si>
  <si>
    <t>APSEB Bonds 2009</t>
  </si>
  <si>
    <t xml:space="preserve">APTRANSCO Vidyut Bonds </t>
  </si>
  <si>
    <t>APTRANSCO Vidyut Bonds I/2007 &amp; 2009</t>
  </si>
  <si>
    <t>Interest expense</t>
  </si>
  <si>
    <t>Adjustments for foreign exchange loss/(gain)</t>
  </si>
  <si>
    <t>Less:Non-Tariff Income (if any)</t>
  </si>
  <si>
    <t>Other Finance Charges</t>
  </si>
  <si>
    <t>SLDC</t>
  </si>
  <si>
    <t>Project Start Date
 (DD-MM-YY)</t>
  </si>
  <si>
    <t>O&amp;M Expenditure</t>
  </si>
  <si>
    <t>FY 2013-14 
(Base Year)</t>
  </si>
  <si>
    <t>FY 2014-15</t>
  </si>
  <si>
    <t>FY 2015-16</t>
  </si>
  <si>
    <t>FY 2016-17</t>
  </si>
  <si>
    <t>FY 2017-18</t>
  </si>
  <si>
    <t>FY 2018-19</t>
  </si>
  <si>
    <t>Lines (Circuit Kilometers)</t>
  </si>
  <si>
    <t>Base Year O&amp;M Cost for Lines (Rs./KM)</t>
  </si>
  <si>
    <t>Base Year O&amp;M Cost for Substations (Rs./Bay)</t>
  </si>
  <si>
    <t>Indexation Factor Computation:</t>
  </si>
  <si>
    <t>CPI-Industrial Worker Inflation assumed during MYT Period</t>
  </si>
  <si>
    <t>R&amp;M and A&amp;G Cost as % of O&amp;M Cost</t>
  </si>
  <si>
    <t>WPI-Transmission Goods Inflation assued during MYT Period</t>
  </si>
  <si>
    <t>O&amp;M Inflation Factor for MYT Control Period (Index)</t>
  </si>
  <si>
    <t>O&amp;M Cost for Lines (Rs./KM) [(Base Year * (1+Index)]</t>
  </si>
  <si>
    <t>O&amp;M Cost for Sub-stations (Rs./Bay) [(Base Year * (1+Index)]</t>
  </si>
  <si>
    <t>O&amp;M Cost (in crores)</t>
  </si>
  <si>
    <t>O&amp;M Cost for 3rd Control Period (FY 2014-15 to FY 2018-19) - Transmission</t>
  </si>
  <si>
    <t>Employees Cost (Rs. in crores)</t>
  </si>
  <si>
    <t>Admn. &amp; General Expenses (Rs. in Crores)</t>
  </si>
  <si>
    <t>Repairs &amp; Maintenance (Rs. in Crores)</t>
  </si>
  <si>
    <t>O&amp;M Cost (%) for Lines</t>
  </si>
  <si>
    <t>O&amp;M Cost (%) for Sub-Stations</t>
  </si>
  <si>
    <t>Base Year O&amp;M Costs for Lines (Rs. in crores)</t>
  </si>
  <si>
    <t>Base Year O&amp;M Costs for Sub-stations (Rs. in crores)</t>
  </si>
  <si>
    <t>No. of Substation Bays (Nos.)</t>
  </si>
  <si>
    <t>Employees Cost as % of O&amp;M Cost</t>
  </si>
  <si>
    <t>SLDC Charges</t>
  </si>
  <si>
    <t>Other Income</t>
  </si>
  <si>
    <t>Expenditure:</t>
  </si>
  <si>
    <t>Repairs &amp; Maintenance</t>
  </si>
  <si>
    <t>Employees Costs</t>
  </si>
  <si>
    <t>Administrative &amp; General Charges</t>
  </si>
  <si>
    <t>Depreciation and related expenses</t>
  </si>
  <si>
    <t>Interest and Finance Charges</t>
  </si>
  <si>
    <t>Total Revenue :</t>
  </si>
  <si>
    <t>Total Expenditure :</t>
  </si>
  <si>
    <t>(+)Surplus/(-)Deficit</t>
  </si>
  <si>
    <t>Revenue:</t>
  </si>
  <si>
    <t>SLDC Performance from FY 2008-09 to FY 2012-13 (Actuals) and Projections for FY 2013-14 to FY 2018-19</t>
  </si>
  <si>
    <t>Less: Capitalisation</t>
  </si>
  <si>
    <t>FY 2008-09</t>
  </si>
  <si>
    <t>FY 2009-10</t>
  </si>
  <si>
    <t>FY 2010-11</t>
  </si>
  <si>
    <t>FY 2011-12</t>
  </si>
  <si>
    <t>FY 2012-13</t>
  </si>
  <si>
    <t>% of (+)Increase/(-)Decrease</t>
  </si>
  <si>
    <t>(+) Additions</t>
  </si>
  <si>
    <t>% of Additions</t>
  </si>
  <si>
    <t>(+)Increase/(-)Decrease in O&amp;M Cost for lines (Rs./KM)</t>
  </si>
  <si>
    <t>(+)Increase/(-)Decrease in O&amp;M Cost for SS (Rs./Bay)</t>
  </si>
  <si>
    <t>O&amp;M Cost (Rs. in crores)</t>
  </si>
  <si>
    <t>(+)Increase/(-)Decrease in O&amp;M Cost (Rs. in crores)</t>
  </si>
  <si>
    <t>(Rs. in Crores)</t>
  </si>
  <si>
    <t>Aggregate Revenue Requirement</t>
  </si>
  <si>
    <t>Revenue from current tariffs</t>
  </si>
  <si>
    <t>Revenue Surplus/(Deficit) at current tariffs</t>
  </si>
  <si>
    <t>Revenue from proposed tariffs</t>
  </si>
  <si>
    <t>Non Tariff Income</t>
  </si>
  <si>
    <t xml:space="preserve">Revenue Surplus / (deficit) at proposed tariffs </t>
  </si>
  <si>
    <t>Net O&amp;M Cost</t>
  </si>
  <si>
    <t>Tax Rate</t>
  </si>
  <si>
    <t>Aggregate Revenue Requirement (Net of Non Tariff Income)</t>
  </si>
  <si>
    <t>2019-20</t>
  </si>
  <si>
    <t>2020-21</t>
  </si>
  <si>
    <t>2021-22</t>
  </si>
  <si>
    <t>2022-23</t>
  </si>
  <si>
    <t>2023-24</t>
  </si>
  <si>
    <t>FY 2019-20</t>
  </si>
  <si>
    <t>FY 2020-21</t>
  </si>
  <si>
    <t>FY 2021-22</t>
  </si>
  <si>
    <t>FY 2022-23</t>
  </si>
  <si>
    <t>FY 2023-24</t>
  </si>
  <si>
    <t>DENA Bank</t>
  </si>
  <si>
    <t>Indian Bank</t>
  </si>
  <si>
    <t>SBI</t>
  </si>
  <si>
    <t>tr to TS transco</t>
  </si>
  <si>
    <t>Transmission</t>
  </si>
  <si>
    <t>Form 1.1 c - Capital Work in Progress (TRANSMISSION)</t>
  </si>
  <si>
    <t>KfW/ REC</t>
  </si>
  <si>
    <t>World Bank</t>
  </si>
  <si>
    <t>ADB</t>
  </si>
  <si>
    <t>Project Stock</t>
  </si>
  <si>
    <t>project stock</t>
  </si>
  <si>
    <t>Capital Contributions in proportion to depreciation of LIS Assets</t>
  </si>
  <si>
    <t>Total of other income</t>
  </si>
  <si>
    <t>amortisation on assets</t>
  </si>
  <si>
    <t>Transferred to TS</t>
  </si>
  <si>
    <t>TRANSCO</t>
  </si>
  <si>
    <t>APTRANSCO</t>
  </si>
  <si>
    <t>Transmission + SLDC</t>
  </si>
  <si>
    <t>TRANSMISSION</t>
  </si>
  <si>
    <t>TRANSMISSION &amp;SLDC</t>
  </si>
  <si>
    <t>advanes to suppliers</t>
  </si>
  <si>
    <t>advanes to employees</t>
  </si>
  <si>
    <t>Indian Loans - Non - Current</t>
  </si>
  <si>
    <t xml:space="preserve">Contributions &amp; Grants - </t>
  </si>
  <si>
    <t>P&amp;G TRUST LIABILITY Provision Non Current</t>
  </si>
  <si>
    <t>Other comprehensive income</t>
  </si>
  <si>
    <t>Corporate Sociial Responsibility  Fund</t>
  </si>
  <si>
    <t>Ind- As Adjustment difference</t>
  </si>
  <si>
    <t xml:space="preserve">Ind As Adjustment </t>
  </si>
  <si>
    <t>TAX ASSET</t>
  </si>
  <si>
    <t>CURRENT</t>
  </si>
  <si>
    <t>NON CURRENT</t>
  </si>
  <si>
    <t>open access others: as projected by commercial and BL</t>
  </si>
  <si>
    <t>after adj</t>
  </si>
  <si>
    <t>interest</t>
  </si>
  <si>
    <t>TRANSMISSION CORPORATION OF ANDHRA PRADESH LIMITED</t>
  </si>
  <si>
    <t xml:space="preserve">Financial position of the Corporation </t>
  </si>
  <si>
    <t>in crores</t>
  </si>
  <si>
    <t>Sl. No.</t>
  </si>
  <si>
    <t>Liabilities</t>
  </si>
  <si>
    <r>
      <t xml:space="preserve">1998-99     </t>
    </r>
    <r>
      <rPr>
        <sz val="12"/>
        <color indexed="63"/>
        <rFont val="Arial"/>
        <family val="2"/>
      </rPr>
      <t xml:space="preserve">  (1-2-1999 to   31-3-1999)</t>
    </r>
  </si>
  <si>
    <t xml:space="preserve">1999-2000 </t>
  </si>
  <si>
    <t xml:space="preserve">2000-01 </t>
  </si>
  <si>
    <t xml:space="preserve">2001-02 </t>
  </si>
  <si>
    <t>2002-03</t>
  </si>
  <si>
    <t>2003-04</t>
  </si>
  <si>
    <t>2004-05</t>
  </si>
  <si>
    <t>2005-06</t>
  </si>
  <si>
    <t>2006-07</t>
  </si>
  <si>
    <t>2007-08</t>
  </si>
  <si>
    <t>a</t>
  </si>
  <si>
    <t>Share Capital</t>
  </si>
  <si>
    <t>b</t>
  </si>
  <si>
    <t xml:space="preserve"> i) Reserves &amp; Surplus</t>
  </si>
  <si>
    <t>ii) Deferred tax liability</t>
  </si>
  <si>
    <t>c</t>
  </si>
  <si>
    <t>Accumulated losses (if any)</t>
  </si>
  <si>
    <t xml:space="preserve"> -</t>
  </si>
  <si>
    <t>-</t>
  </si>
  <si>
    <t>d</t>
  </si>
  <si>
    <t>Net Worth (a+b+c)</t>
  </si>
  <si>
    <t>e</t>
  </si>
  <si>
    <t>Total of term loan and Term Borrowings</t>
  </si>
  <si>
    <t>f</t>
  </si>
  <si>
    <t>Bonds/SLR Bonds</t>
  </si>
  <si>
    <t>g</t>
  </si>
  <si>
    <t>Other total of term loan and Term Borrowings</t>
  </si>
  <si>
    <t>h</t>
  </si>
  <si>
    <t>Capital employed (d+e+f+g)</t>
  </si>
  <si>
    <t>i</t>
  </si>
  <si>
    <t>Bank borrowings for working capital</t>
  </si>
  <si>
    <t>j</t>
  </si>
  <si>
    <t>Sundry creditors</t>
  </si>
  <si>
    <t>k</t>
  </si>
  <si>
    <t>Other liabilities</t>
  </si>
  <si>
    <t>l</t>
  </si>
  <si>
    <t>Total Current liabilities (i+j+k)</t>
  </si>
  <si>
    <t>m</t>
  </si>
  <si>
    <t>Liability for Pension and Gratuity and leave enashment</t>
  </si>
  <si>
    <t>Total of Balance Sheet - 
Liabilities side - (h+l)</t>
  </si>
  <si>
    <t>Assets</t>
  </si>
  <si>
    <t>n</t>
  </si>
  <si>
    <t>Gross fixed assets</t>
  </si>
  <si>
    <t>o</t>
  </si>
  <si>
    <t>p</t>
  </si>
  <si>
    <t>Net fixed assets (m-n)</t>
  </si>
  <si>
    <t>q</t>
  </si>
  <si>
    <t>Capital Works-in-progress</t>
  </si>
  <si>
    <t>r</t>
  </si>
  <si>
    <t>Total of Net Fixed Assets &amp; Capital Work in Progress (p+q)</t>
  </si>
  <si>
    <t>s</t>
  </si>
  <si>
    <t>t</t>
  </si>
  <si>
    <t>u</t>
  </si>
  <si>
    <t>Inventories</t>
  </si>
  <si>
    <t>v</t>
  </si>
  <si>
    <t>Debtors</t>
  </si>
  <si>
    <t>w</t>
  </si>
  <si>
    <t>Current assets 
(incl.income accrued on investments)</t>
  </si>
  <si>
    <t>x</t>
  </si>
  <si>
    <t>Total Current Assets(u+v+w)</t>
  </si>
  <si>
    <t>y</t>
  </si>
  <si>
    <t>Non Current Assets</t>
  </si>
  <si>
    <t>z</t>
  </si>
  <si>
    <t>Other Non-Current Assets</t>
  </si>
  <si>
    <t>Non-Current Assets (other Tax Assets)</t>
  </si>
  <si>
    <t>Total non - current Assets(x+b)</t>
  </si>
  <si>
    <t>Total current and non current assets</t>
  </si>
  <si>
    <t>Subsidy receivable from Government</t>
  </si>
  <si>
    <t>Unabsorbed debit balance in P&amp;L A/c.</t>
  </si>
  <si>
    <t>Total Current assets</t>
  </si>
  <si>
    <t>Total of Balance Sheet - 
Assets side - (q+r+t)</t>
  </si>
  <si>
    <t>Working Results</t>
  </si>
  <si>
    <t>Sales/Revenue</t>
  </si>
  <si>
    <t xml:space="preserve">Other Income </t>
  </si>
  <si>
    <t>Subsidy</t>
  </si>
  <si>
    <t>Total(e+f+g)</t>
  </si>
  <si>
    <t>Expenditure in production/Service other than Depreciation and Interest</t>
  </si>
  <si>
    <t>Gross profit</t>
  </si>
  <si>
    <t>Less: Other Expenditure(h-j)</t>
  </si>
  <si>
    <t>a) Depreciation</t>
  </si>
  <si>
    <t>b) Interest</t>
  </si>
  <si>
    <t>c) Deferred Revenue exp.</t>
  </si>
  <si>
    <t>Total of Other Expenditure(k+l+m)</t>
  </si>
  <si>
    <t>Profit Before tax (Gross profit - Other expenditure)(k-o)</t>
  </si>
  <si>
    <t>MAT Credit availed</t>
  </si>
  <si>
    <t>Deferred Tax provision</t>
  </si>
  <si>
    <t>Net Profit After Tax (NPAT)(p+q-r+s)</t>
  </si>
  <si>
    <t>Abstract of O&amp;M Exp</t>
  </si>
  <si>
    <t>(Rs. in lakhs)</t>
  </si>
  <si>
    <t xml:space="preserve">Employee Cost </t>
  </si>
  <si>
    <t>ADM</t>
  </si>
  <si>
    <t>R&amp;M</t>
  </si>
  <si>
    <t>capitalisation</t>
  </si>
  <si>
    <t>NET OF CAPITALISATION</t>
  </si>
  <si>
    <t>Net interest</t>
  </si>
  <si>
    <t>tr to TSTRANSCO</t>
  </si>
  <si>
    <t>OB</t>
  </si>
  <si>
    <t>CY ( trans+SLDC)</t>
  </si>
  <si>
    <t>Less: Other expenses capitalized (IDC)</t>
  </si>
  <si>
    <t>Receivbles</t>
  </si>
  <si>
    <t>Indian Loans - Current</t>
  </si>
  <si>
    <t>Current Liabilities - TOTAL</t>
  </si>
  <si>
    <t>Proceeds from Govt. Subsidies and Contributions -Grants</t>
  </si>
  <si>
    <t>Adjustment for income from investments</t>
  </si>
  <si>
    <t>interest on investments through contingency reserve</t>
  </si>
  <si>
    <t>Income Tax Paid</t>
  </si>
  <si>
    <t>Increase/(Decrease) in trade and other payables</t>
  </si>
  <si>
    <t>Appropriation to Reserves</t>
  </si>
  <si>
    <t>Profit before Tax</t>
  </si>
  <si>
    <t xml:space="preserve">Increase/Decrease in liability for Capital works </t>
  </si>
  <si>
    <t>Purchase/(Sale) of Other Investment Activities</t>
  </si>
  <si>
    <t>As per our Assets</t>
  </si>
  <si>
    <t>Less: Tariff from others (ISTS lines)</t>
  </si>
  <si>
    <t>State Peak demand</t>
  </si>
  <si>
    <t>State peak demand</t>
  </si>
  <si>
    <t>Gross O&amp;M Expenses</t>
  </si>
  <si>
    <t>Capitalisarion of O&amp;M Expenses</t>
  </si>
  <si>
    <t>Net O&amp;M Expenses</t>
  </si>
  <si>
    <t>FY 2018-19 (Base Year)</t>
  </si>
  <si>
    <t>2018-19 (Base Year)</t>
  </si>
  <si>
    <t>Note: Please note that the Capacity (MW) values for FY 19 are approved values for Installed Capacities as per Transmission MYT order for 3rd Control Period, whereas for the year FY 20-24, the values correspond to State Peak Demand</t>
  </si>
  <si>
    <t>Contracted Demand (MW) (Share of Peak Demand)</t>
  </si>
  <si>
    <t>WAIVER REQUESTED</t>
  </si>
  <si>
    <t>O&amp;M Cost for 4th Control Period (FY 2019-20 to FY 2023-24) - Transmission</t>
  </si>
  <si>
    <t>400kV</t>
  </si>
  <si>
    <t xml:space="preserve">Krishnapatnam Power Transmission Scheme </t>
  </si>
  <si>
    <t>Evacuation of Power</t>
  </si>
  <si>
    <t xml:space="preserve">Vijayawada Power Transmission Scheme </t>
  </si>
  <si>
    <t>400kV Augmentation Scheme-III(3rd 315 MVA PTR at Kalpaka)</t>
  </si>
  <si>
    <t>System Strengthening works</t>
  </si>
  <si>
    <t>400kV Augmentation Scheme-IV(Augmentations at Chittor ,Nellore / Manubolu)</t>
  </si>
  <si>
    <t>Bank</t>
  </si>
  <si>
    <t>400kV Augmentation Scheme-VI(Augmentation of 4th 500 MVA Power Transformer capacity at 400kV Substation Kalpaka (3x315 MVA)  )</t>
  </si>
  <si>
    <t xml:space="preserve">400kV Augmentation Scheme-VII – Augmentation of 4th 315 MVA Power Transformer capacity at 400kV Substation Manubolu (3x315 MVA)  </t>
  </si>
  <si>
    <t>Short Gestation Power Transmission Scheme-II</t>
  </si>
  <si>
    <t>Rayalaseema Power Transmission Scheme (Stage-IV)</t>
  </si>
  <si>
    <t>Reactors Scheme -II(80 MVAR Reactor at VemagiriSS)</t>
  </si>
  <si>
    <t xml:space="preserve">System Improvement </t>
  </si>
  <si>
    <t>Nabard</t>
  </si>
  <si>
    <t>Reactors Scheme -III (125 MVAR reactors Kalpaka, Vemagiri &amp; Narnoor)</t>
  </si>
  <si>
    <t>Reactor Scheme-IV(125 MVAR reactors Chittor, Sattenapalli)</t>
  </si>
  <si>
    <t>Wind Power Transmission Scheme (Phase-I)</t>
  </si>
  <si>
    <t>Wind Power Transmission Scheme (Phase-II)</t>
  </si>
  <si>
    <t>KfW/REC</t>
  </si>
  <si>
    <t xml:space="preserve">Transmission Scheme for Evacuation of power from M/s.Hinduja National Power Corporation Limited (1040 MW) Power Plant </t>
  </si>
  <si>
    <t>Erection of 400/220/132kV Suryapet substation, in Nalgonda District and connected network under transmission system improvement, on stand alone basis (A.P.Portion)</t>
  </si>
  <si>
    <t xml:space="preserve">Erection of Garividi 400/220 kV Substation in Vizianagaram Dist and Pydibhimavaram 220/132 kV Substation in Srikakulam Dist and connected network under transmission system improvement </t>
  </si>
  <si>
    <t>Erection of 400kV SS at Podili, in Prakasam Dist and connected network, under system strenthening works</t>
  </si>
  <si>
    <t>Transmission Scheme for Evacuation of power from 1000 MW Solar Park at Gani/Panyam, in Kurnool Dist.(phase-I)</t>
  </si>
  <si>
    <t>Transmission scheme for evacuation of power from 1000 MW Solar Park at Gani/Panyam, in Kurnool Dist.(Phase-II)</t>
  </si>
  <si>
    <t xml:space="preserve">System Improvement Scheme for Erection of 400 kV SS at Rachagunneri, Chittoor District with one 220kV SS Chervi, Chittoor and one 132kV SS at Yerpedu </t>
  </si>
  <si>
    <t>Erection of 400kV SS at Kalikiri, in Chittoor Dist and connected network, under system strenthening works</t>
  </si>
  <si>
    <t xml:space="preserve">REC
</t>
  </si>
  <si>
    <t>Transmission Scheme for Erection of 
400/220kV Substation at Eluru and connected transmission network, under 400kV Ring around Capital City</t>
  </si>
  <si>
    <t>Transmission Scheme for Erection of 400/220/132kV Substation at Gudivada and connected transmission network, under 400kV Ring around Capital City</t>
  </si>
  <si>
    <t xml:space="preserve">Transmission Scheme for Erection of  400/220kV  Substation at Chilakaluripeta and connected transmission network, under 400kV Ring around Capital City </t>
  </si>
  <si>
    <t>Transmission Scheme for Evacuation of Power from 500 MW Solar Power Project by APGENCO at Talaricheruvu (V), Tadipatri (M), Anantapur District</t>
  </si>
  <si>
    <t>Transmission Scheme for Evacuation of power from 2400 MW Wind Power Projects at Anantapur and Kurnool Districts of Andhra Pradesh State (Uravakonda-2 and Aspiri)</t>
  </si>
  <si>
    <t>Construction of 400/220kV GIS Substation At Thallyapallem in CRDA ,Guntur Dist. Of Andhrapradesh</t>
  </si>
  <si>
    <t>400kV Transmission Scheme for Evacuation of Power from Mylavaram Solar Project</t>
  </si>
  <si>
    <t>220/132kV</t>
  </si>
  <si>
    <t>132kV SS Koruturu &amp; connected lines</t>
  </si>
  <si>
    <t>System Improvement</t>
  </si>
  <si>
    <t>3Yrs</t>
  </si>
  <si>
    <t>10Yrs</t>
  </si>
  <si>
    <t>132kV SS Ponnuru &amp; connected lines</t>
  </si>
  <si>
    <t>220/132kV SS Nuziveedu &amp; connected lines</t>
  </si>
  <si>
    <t>2Yrs</t>
  </si>
  <si>
    <t>220/132kV SS at Guntur &amp; connected lines</t>
  </si>
  <si>
    <t>220/132kV SS Atmakur &amp; connected lines</t>
  </si>
  <si>
    <t xml:space="preserve">132 kV SS Yernagudem &amp; connected lines </t>
  </si>
  <si>
    <t>220/132/33kV SS Duvva &amp; connected lines</t>
  </si>
  <si>
    <t>132 kV SS Anumalapalle &amp; connected lines</t>
  </si>
  <si>
    <t>132kV SS Rudravaram &amp; connected lines</t>
  </si>
  <si>
    <t>Andhra bank</t>
  </si>
  <si>
    <t>132kV SS Kallurpalli &amp; connected lines</t>
  </si>
  <si>
    <t>132 kV SS G.Chodavaram &amp; connected lines</t>
  </si>
  <si>
    <t>132kV SS Kothapalli (Gudipala) &amp; connected lines</t>
  </si>
  <si>
    <t>132/33 kV SS Brahmamgarimattam &amp; connected lines</t>
  </si>
  <si>
    <t>132KV Ramasamudram &amp; connected lines</t>
  </si>
  <si>
    <t>132/33kV SS C.Orampadu &amp; connected lines</t>
  </si>
  <si>
    <t>132kV SS Pachikapallam &amp; connected lines</t>
  </si>
  <si>
    <t>132kV SS Narsapuram &amp; connected lines</t>
  </si>
  <si>
    <t>15Yrs</t>
  </si>
  <si>
    <t>132kV SS AIIMS at Mangalagiri &amp; connected lines</t>
  </si>
  <si>
    <t>132kV SS Mummidivaram &amp; connected lines</t>
  </si>
  <si>
    <t>132/33 kV SS Gollapalem &amp; connected lines</t>
  </si>
  <si>
    <t>a) 220/132/33kV GIS SS Achutapuram &amp; connected lines
b) 220/132/33kV SS Menakuru/ Naidupeta &amp; connected lines
c) 132/33kV GIS SS Kapuluppada &amp; connected lines</t>
  </si>
  <si>
    <t>132kV SS Yerpedu &amp; connected lines</t>
  </si>
  <si>
    <t>132kv SS Vinjamur &amp; connected lines</t>
  </si>
  <si>
    <t>132kV SS Gottiprolu &amp; connected lines</t>
  </si>
  <si>
    <t>132 kV SS Penumur &amp; connected lines</t>
  </si>
  <si>
    <t>220/132kV SS Kandukur &amp; connected lines</t>
  </si>
  <si>
    <t>220/132kV SS Tirumalayapalli &amp; connected lines</t>
  </si>
  <si>
    <t>KFW/REC</t>
  </si>
  <si>
    <t>220/132kV SS Porumamilla &amp; connected lines</t>
  </si>
  <si>
    <t>RMI</t>
  </si>
  <si>
    <t>Replacement of aged/obsolete Optical Instruments</t>
  </si>
  <si>
    <t>Renovation &amp; Modernisation</t>
  </si>
  <si>
    <t>3years</t>
  </si>
  <si>
    <t>10years</t>
  </si>
  <si>
    <t xml:space="preserve">Procurement of Line material  </t>
  </si>
  <si>
    <t>Procurement of SS material</t>
  </si>
  <si>
    <t>Labour charges for Lines and Sub-station works</t>
  </si>
  <si>
    <t>Replacement of 220 KV LAs, CVTs, CBs, CTs and PTs which served 25 years and which are having class of accuracy above 0.2 at 220 KV VSS</t>
  </si>
  <si>
    <t>Provision towards Civil nature works at various  EHT substations</t>
  </si>
  <si>
    <t>Renovation and up gradation of protection and control system of EHT sub stations under PSDF (Balance 10% self contribution).</t>
  </si>
  <si>
    <t>Augmentation of PTR capacity through 220 KV class &amp; 132 KV class Transformers at 8 Nos. EHT substations</t>
  </si>
  <si>
    <t>Transmission Scheme for Evacuation of power from 1000 MW Solar Park at Gani/Panyam, in Kurnool Dist.(Phase-I)</t>
  </si>
  <si>
    <t xml:space="preserve">Transmission Scheme for Erection of 
400/220kV Substation at Chilakaluripeta and connected transmission network, under 400kV Ring around Capital City </t>
  </si>
  <si>
    <t>400kV Transmission Scheme for Evacuation of Power from Polavaram Project</t>
  </si>
  <si>
    <t>System Improvement Scheme for Erection of 2 no 400kV Bay Extensions at 400kV GVK Power Plant to relief overload on 400kV SS Vemagiri</t>
  </si>
  <si>
    <t>400KV Aug-VIII-Augmentation of  3rd 500MVA ,400/220kV PTR at Maradam SS</t>
  </si>
  <si>
    <t>Transmission scheme for extension of 210 MVA (200 MW) power supply at 220kV level for establishment of Petrochemical Complex in Kakinada SEZ by M/s. GAIL (India) Ltd and for 200 MW at Kakinada SEZ.</t>
  </si>
  <si>
    <t>System Improvement scheme</t>
  </si>
  <si>
    <t>132kV SS Palasamudram &amp; connected lines</t>
  </si>
  <si>
    <t>220/132kV SS Vizianagaram &amp; connected lines</t>
  </si>
  <si>
    <t>Up-gradation of 132kV SS Piduguralla to 220kV SS &amp; Connected lines</t>
  </si>
  <si>
    <t>220/132kV SS Chandanada (Koruprolu) &amp; connected lines</t>
  </si>
  <si>
    <t>ADB (VCIC)</t>
  </si>
  <si>
    <t xml:space="preserve">132kV SS Kadivedu &amp; connected lines </t>
  </si>
  <si>
    <t>132/33 kV SS Satellite City &amp; connected lines</t>
  </si>
  <si>
    <t>132/33kV SS East Gangavaram &amp; connected lines</t>
  </si>
  <si>
    <t>132/33kV SS Chinnarikatla &amp; connected lines</t>
  </si>
  <si>
    <t>132/33 kV SS T.Sundupalli &amp; connected lines</t>
  </si>
  <si>
    <t>132/33kV SS Bantumilli &amp; connected lines</t>
  </si>
  <si>
    <t>132/33kV SS Kalasapadu &amp; connected lines</t>
  </si>
  <si>
    <t>132kV SS Katrayapadu (Dagadarty)</t>
  </si>
  <si>
    <t>220/132/33kV SS Pydibhimavaram &amp; connected lines</t>
  </si>
  <si>
    <t>132 kV SS Gannavaram &amp; connected lines</t>
  </si>
  <si>
    <t>12Yrs</t>
  </si>
  <si>
    <t>Replacement of 3 Nos 31.5 MVA PTRs in place of old 31.5 MVA PTRs at 132 KV SSs N.V.Gardens, Tanuku and 220 KV SS C.K.Palli</t>
  </si>
  <si>
    <t>Replacement of 1 No. 50 MVA PTR in place of old 50 MVA PTR s at 132 KV SS Nakkavanipalem</t>
  </si>
  <si>
    <t>Replacement of 3 Nos. 100 MVA PTRs in place of old 100 MVA PTRs at 220 KV SSs Garividi, Gooty and 400 KV SS Nellore.</t>
  </si>
  <si>
    <t>Replacement of 25 Nos 220KV CTs, 75 Nos 132KV CTs &amp; 72 Nos 33KV CTs at various 220KV &amp; 132KV Sub-Stations</t>
  </si>
  <si>
    <t>Replacement of 9 Nos 220KV PTs, 25 Nos 132KV PTs &amp; 20 Nos 33KV PTs at various 220KV &amp; 132KV Sub-Stations</t>
  </si>
  <si>
    <t>Replacement of 20 Nos 220KV CVTs, 36 Nos 132KV CVTs at various 220KV &amp; 132KV Sub-Stations</t>
  </si>
  <si>
    <t>Replacement of 29 Nos 220KV LAs, 90 Nos 132KV LAs &amp; 115 Nos 33KV LAs at various 220KV &amp; 132KV Sub-Stations</t>
  </si>
  <si>
    <t>Replacement of 25 Nos 220KV Isolators, 102 Nos 132KV Isolators &amp; 108 Nos 33KV Isolators at various 220KV &amp; 132KV Sub-Stations</t>
  </si>
  <si>
    <t>Replacement of 1.5 Km 220KV bus conductor, 3 Km 132KV bus conductor &amp; 0.65 Km 33KV bus conductor at various 220KV &amp; 132KV Sub-Stations</t>
  </si>
  <si>
    <t>Replacement of 5 Nos 220KV,  13 Nos 132KV &amp; 13 Nos 33KV feeder C&amp;R Panels at various 220KV &amp; 132KV Sub-Stations</t>
  </si>
  <si>
    <t>Replacement of 2 Nos 220KV and 5 Nos 132KV PTR C&amp;R Panels at various 220KV &amp; 132KV Sub-Stations</t>
  </si>
  <si>
    <t xml:space="preserve"> Providing of 2400 Nos. 220KV &amp; 242 Nos. 132KV Vibration Dampers</t>
  </si>
  <si>
    <t xml:space="preserve"> Providing of 445 Nos. 120KN &amp; 620 Nos. 70KN 220 KV Insulators</t>
  </si>
  <si>
    <t xml:space="preserve"> Providing of 650 Nos. 120KN &amp; 710 Nos. 70KN 132 KV Insulators</t>
  </si>
  <si>
    <t>Construction of New Control Room and Automation of Sub Station with SAS at 132/33 KV SS Ongole</t>
  </si>
  <si>
    <t>Renovation of Earthmat and metal Spreading in switch yard of 220 KV Swt. Station Gooty</t>
  </si>
  <si>
    <t>33KV Bus Conversion at 132/33 KV SS, Piduguralla. (Dismantling of R.S.Joists Structures and Erection Lattice Type TB, TC &amp;TD type 33 KV Structures including laying of Foundations  and Shifting of 33 KV Bay equipment in to the new 33KV Bays).</t>
  </si>
  <si>
    <t xml:space="preserve">Construction of Compound wall , Renovation of Earthmat and metal Spreading in switch yard of 220 KV Sub- Station, Bhimadole. </t>
  </si>
  <si>
    <t>Augmentation of PTR capacity through 220 KV class &amp; 132 KV class Transformers at 13 Nos. EHT substations</t>
  </si>
  <si>
    <t>220/132/33kV GIS SS Medha towers, Gannavaram &amp; connected lines</t>
  </si>
  <si>
    <t xml:space="preserve">132 kV XLPE UG Cable from 132kV SS Vijayawada to proposed 132/33kV GIS SS Moghalrajpuram
</t>
  </si>
  <si>
    <t>132kV GIS SS at Moghalrajpuram &amp; connected lines</t>
  </si>
  <si>
    <t>6Months</t>
  </si>
  <si>
    <t>220kV DC line from 400/220kV SS 
Kamavarapukota to 220kV SS Bhimadole</t>
  </si>
  <si>
    <t xml:space="preserve">Up-gradation of 132/33 kV Substation at Simhachalam to 220/132/33kV SS Simhachalam </t>
  </si>
  <si>
    <t>220/33kV SS Akiveedu &amp; connected lines</t>
  </si>
  <si>
    <t>132kV SS Palakollu &amp; connected lines</t>
  </si>
  <si>
    <t>132/33kV SS Mylavaram &amp; connected lines</t>
  </si>
  <si>
    <t>132 kV SS Pasuparthur &amp; connected lines</t>
  </si>
  <si>
    <t>132kV SS V.Kota &amp; connected UG Cable and OH line</t>
  </si>
  <si>
    <t>220/132/33kV SS Kothapalem &amp; connected lines</t>
  </si>
  <si>
    <t>400kV Eluru downstream 220kV &amp; 132kV lines</t>
  </si>
  <si>
    <t>220/132/33kV SS Betamcherla &amp; connected lines</t>
  </si>
  <si>
    <t>132kV SS Palasamudram, APIIC Cluster &amp; connected lines</t>
  </si>
  <si>
    <t>220/132kV SS Chilakaluripeta &amp; downstream 220kV &amp; 132kV lines</t>
  </si>
  <si>
    <t>400kV Gudiwada downstream 220kV &amp; 132kV lines</t>
  </si>
  <si>
    <t>220/132kV SS Pampanurthanda &amp; connected lines</t>
  </si>
  <si>
    <t>220/132kV SS Penukonda &amp; connected lines</t>
  </si>
  <si>
    <t>220/33kV GIS SS Nelapadu &amp; connected lines, CRDA</t>
  </si>
  <si>
    <t>220 kV SS Dharmavaram &amp; connected lines</t>
  </si>
  <si>
    <t>220 kV D/C line from 220 kV Gunadala SS to 220 kV Nunna SS with Monopoles</t>
  </si>
  <si>
    <t>132kV SS Ulavapadu &amp; connected lines</t>
  </si>
  <si>
    <t>132kV SS Kothapatnam &amp; connected lines</t>
  </si>
  <si>
    <t>132kV SS Elchuru &amp; connected lines</t>
  </si>
  <si>
    <t>Replacement of 3 Nos. 31.5 MVA PTRs in place of old 31.5MVA PTRs at 220 KV Substations Pendurthi, Chillakallu and Renigunta</t>
  </si>
  <si>
    <t>Replacement of 1 No. 50 MVA PTR in place of old 50 MVA PTR at 220 KV SS Dairyfarm</t>
  </si>
  <si>
    <t>Replacement of 3 Nos. 100MVA PTRs in place of old 100MVA PTRs at 220 KV SSs Tekkali, Bhimadole and Sullurpeta.</t>
  </si>
  <si>
    <t>Replacement of 32 Nos 220KV CBs, 57 Nos 132KV CBs &amp; 66 Nos 33KV CBs at various 220KV &amp; 132KV Sub-Stations</t>
  </si>
  <si>
    <t>Replacement of 24 Nos 220KV CTs, 75 Nos 132KV CTs &amp; 72 Nos 33KV CTs at various 220KV &amp; 132KV Sub-Stations</t>
  </si>
  <si>
    <t>Replacement of 8 Nos 220KV PTs, 24 Nos 132KV PTs &amp; 20 Nos 33KV PTs at various 220KV &amp; 132KV Sub-Stations</t>
  </si>
  <si>
    <t>Replacement of 19 Nos 220KV CVTs, 36 Nos 132KV CVTs at various 220KV &amp; 132KV Sub-Stations</t>
  </si>
  <si>
    <t>Replacement of 29 Nos 220KV LAs, 88 Nos 132KV LAs &amp; 115 Nos 33KV LAs at various 220KV &amp; 132KV Sub-Stations</t>
  </si>
  <si>
    <t>Replacement of 25 Nos 220KV Isolators, 100 Nos 132KV Isolators &amp; 108 Nos 33KV Isolators at various 220KV &amp; 132KV Sub-Stations</t>
  </si>
  <si>
    <t>Replacement of 1.5 Km 220KV bus conductor, 2.37 Km 132KV bus conductor &amp; 0.65 Km 33KV bus conductor at various 220KV &amp; 132KV Sub-Stations</t>
  </si>
  <si>
    <t>Replacement of 5 Nos 220KV,  14 Nos 132KV &amp; 13 Nos 33KV feeder C&amp;R Panels at various 220KV &amp; 132KV Sub-Stations</t>
  </si>
  <si>
    <t>Replacement of 1 No 220KV and 5 Nos 132KV PTR C&amp;R Panels at various 220KV &amp; 132KV Sub-Stations</t>
  </si>
  <si>
    <t>Replacement of 3 Nos 220KV towers &amp; 31 Nos 132KV towers</t>
  </si>
  <si>
    <t>Replacement of 30 Km 220KV line conductor with higher capacity conductor and with intermediate towers</t>
  </si>
  <si>
    <t>Replacement of 87 Km 132KV line conductor with higher capacity conductor and with intermediate towers</t>
  </si>
  <si>
    <t>Construction of new control room and Automation of Sub Station with SASat 132 / 33 KV SS Kadiri</t>
  </si>
  <si>
    <t>Construction of new control room, Automation of substation with SAS, Re-Metal spreading by providing LDPE sheet, providing of cable ducts, providing Tar-road from main gate to control room (500mts) at 220KV switching station Tallapalli.</t>
  </si>
  <si>
    <t>Conversion of Coventional 132/33 KV SS Tirupathi to GIS Substation</t>
  </si>
  <si>
    <t>Construction of new duplex control room, providing barbed fencing duly constructing compound wall. Replacement of RS-joists structures with TC and TD tower and BD booms at switch Yard and Automation of substation with SAS panels at 132KV SS Macherla</t>
  </si>
  <si>
    <t>Construction of New Control Room and Automation of Sub Station with SAS at 220/132/33 KV SS Sullurpeta</t>
  </si>
  <si>
    <t>Construction of New Control Room and Automation of Sub Station with SAS at 220/132/33 KV SS Ongole</t>
  </si>
  <si>
    <t>Construction of New Control Room and Automation of Sub Station with SAS at 132 /33 KV SS Kovvuru.</t>
  </si>
  <si>
    <t>Construction of new control room , providing barbed fencing duly increasing height of compound wall. Replacement of RS Joists structures with TC&amp;TD Booms at Switch yardand Automation of Sub Station with SAS Panels at 132/33 KV SS Guntakal</t>
  </si>
  <si>
    <t xml:space="preserve">Construction of new control room and erection of GIS Sub Station at 132 KV SS Puttaparthy </t>
  </si>
  <si>
    <t>Provision for conversion of conventional substation to GIS substation wherever it is possible / feasible</t>
  </si>
  <si>
    <t>Replacement of Insulators with SRC Insulators (53 Nos. Towers insulators)</t>
  </si>
  <si>
    <t>Augmentation of PTR capacity through 220 KV class &amp; 132 KV class Transformers at 52 Nos. EHT substations</t>
  </si>
  <si>
    <t>Transmission scheme for evacuation of power from 1000 MW Solar Park at Gani/Panyam, in Kurnool Dist.(Phase-II)-</t>
  </si>
  <si>
    <t>Administration and General expenses for 400kV works(Including Survey works)</t>
  </si>
  <si>
    <t xml:space="preserve">132kV SS Jaggampet &amp; connected lines </t>
  </si>
  <si>
    <t>220/132/33 kV SS at Kakinada SEZ &amp; connected lines</t>
  </si>
  <si>
    <t>132 kV and 33 kV features at 220/11kV LIS Substation Ramavaram</t>
  </si>
  <si>
    <t>220/33kV GIS SS Lingayapalem &amp; connected lines, CRDA</t>
  </si>
  <si>
    <t>132kV SS Narayanapuram &amp; connected lines</t>
  </si>
  <si>
    <t>132kV SS Mudigubba &amp; connected lines</t>
  </si>
  <si>
    <t>TMB</t>
  </si>
  <si>
    <t>220/132kV SS Racherla (Cherivi) &amp; connected lines</t>
  </si>
  <si>
    <t xml:space="preserve">2nd circuit from proposed 220kV Korukonda Switching Station to 220kV SS Rampachodavaram and making LILO to Lower Sileru
</t>
  </si>
  <si>
    <t>220/132kV SS Ramachandrapuram &amp; connected lines</t>
  </si>
  <si>
    <t>Replacement of 2 Nos. 31.5 MVA PTRs in place of old 31.5MVA PTRs at 132 KV SSs Marripalem and Pakala</t>
  </si>
  <si>
    <t>Replacement of 1 No. 50 MVA PTR in place of old 50 MVA PTR s at 132 KV SS Chilakapalem</t>
  </si>
  <si>
    <t>Replacement of 3 Nos. 100 MVA PTRs in place of old 100 MVA PTRs at 220 KV SSs Sullurpet, Nunna, 400 KV SS Nellore</t>
  </si>
  <si>
    <t>Replacement of 16 Nos 220KV CBs, 28 Nos 132KV CBs &amp; 32 Nos 33KV CBs at various 220KV &amp; 132KV Sub-Stations</t>
  </si>
  <si>
    <t>Replacement of 24 Nos 220KV CTs, 75 Nos 132KV CTs &amp; 71 Nos 33KV CTs at various 220KV &amp; 132KV Sub-Stations</t>
  </si>
  <si>
    <t>Replacement of 6 Nos 220KV towers &amp; 63 Nos 132KV towers</t>
  </si>
  <si>
    <t>Replacement of 58 Km 220KV line conductor with higher capacity conductor and with intermediate towers</t>
  </si>
  <si>
    <t xml:space="preserve"> Providing of 2300 Nos. 220KV &amp; 242 Nos. 132KV Vibration Dampers</t>
  </si>
  <si>
    <t>Conversion of Conventional 220/132/33 KV SS Kalikiri to Automation SS with SAS</t>
  </si>
  <si>
    <t xml:space="preserve">Automation of 132/33KV Tenali, 132/33KV SS Guntur, 132/33KV Tadepalli with SAS </t>
  </si>
  <si>
    <t>Construction of New Control Room and Automation of Sub Station with SAS at 220/132 /33 KV SS Bhimadole.</t>
  </si>
  <si>
    <t>Erection of New control Room , compound wall and erection of GIS Sub Station at 132 KV SS Dharmavaram</t>
  </si>
  <si>
    <t>Constructin of Compound  in place of badly damaged barbed wire fencing and drain arrangements and carrying out repairs  to control room at 220/132/33 KV SS Yerraguntla</t>
  </si>
  <si>
    <t>Augmentation of PTR capacity through 220 KV class &amp; 132 KV class Transformers at 47 Nos. EHT substations</t>
  </si>
  <si>
    <t xml:space="preserve">Transmission Scheme for Erection of 400/220kV Substation at Chilakaluripeta and connected transmission network, under 400kV Ring around Capital City </t>
  </si>
  <si>
    <t>220/132kV SS Siripalli (Amalapuram) &amp; connected lines</t>
  </si>
  <si>
    <t xml:space="preserve">220KV Adoni &amp; Connected lines </t>
  </si>
  <si>
    <t>220kV SS Sambepalli &amp; connected lines</t>
  </si>
  <si>
    <t>220kV SS Bhimili &amp; connected lines</t>
  </si>
  <si>
    <t>3 Yrs</t>
  </si>
  <si>
    <t>132kV SS Devanakonda &amp; connected lines</t>
  </si>
  <si>
    <t>132kV SS Kalluru &amp; connected lines</t>
  </si>
  <si>
    <t>132kV SS Gandhipuram &amp; connected lines</t>
  </si>
  <si>
    <t>132kV SS Gajulapalli &amp; connected lines</t>
  </si>
  <si>
    <t>132kV SS Kuderu &amp; connected lines</t>
  </si>
  <si>
    <t>132kV SS Bhattiprolu &amp; connected lines</t>
  </si>
  <si>
    <t>132kV SS Bellamkonda &amp; connected lines</t>
  </si>
  <si>
    <t>132kV SS Satyavedu &amp; connected lines</t>
  </si>
  <si>
    <t>132kV SS Poothalapattu &amp; connected lines</t>
  </si>
  <si>
    <t>132kV SS BN Kandriga &amp; connected lines</t>
  </si>
  <si>
    <t>132kV SS Kaligiri &amp; connected lines</t>
  </si>
  <si>
    <t>220/33kV GIS SS Uddandrayunipalem  &amp; connected lines</t>
  </si>
  <si>
    <t>220kV SS Prathipadu &amp; connected lines</t>
  </si>
  <si>
    <t>132kV SS Allinagaram &amp; connected lines</t>
  </si>
  <si>
    <t>132kV SS Burjavalasa &amp; connected lines</t>
  </si>
  <si>
    <t>132kV SS Singarayakonda &amp; connected lines</t>
  </si>
  <si>
    <t xml:space="preserve">  220/33kV GIS SS Rayapudi &amp; connected lines, CRDA</t>
  </si>
  <si>
    <t>220/33kV GIS SS Lingayapalem &amp; connected lines</t>
  </si>
  <si>
    <t>132/33kV SS Gampalagudem &amp; connected lines</t>
  </si>
  <si>
    <t>220/33kV SS Chinturu &amp; connected lines</t>
  </si>
  <si>
    <t>132/33kV SS Nadupuru, APMTZ &amp; connected lines</t>
  </si>
  <si>
    <t>132kV Bhimavaram - Tanuku SC Line LILO to 220kV SS Undi</t>
  </si>
  <si>
    <t>Replacement of existing Lynx conductor with Lynx equivalent High Tension Low Sag HTLS Conductor for 132kV NTS feeder from 220kV SS Nellore</t>
  </si>
  <si>
    <t xml:space="preserve">33kV features at 220/11kV SS Pattiseema </t>
  </si>
  <si>
    <t xml:space="preserve">33 kV features at 220/11kV LIS Substation Purushothapatnam
</t>
  </si>
  <si>
    <t xml:space="preserve">Replacement of existing Panther conductor with Panther equivalent High Tension Low Sag (HTLS) Conductor for 132kV NV Gardens feeder from 220kV SS Nellore  and 220kV SS Kamavarapukota to 132kV SS Kamavarapukota </t>
  </si>
  <si>
    <t>LILO of 220kV Tadikonda - Ongole SC line to 220kV SS Guntur (Prathipadu) under construction.</t>
  </si>
  <si>
    <t>132kV SS Chintavaram &amp; connected lines</t>
  </si>
  <si>
    <t>132/33kV SS Kaikaluru &amp; connected lines</t>
  </si>
  <si>
    <t>132kV SS Pallamalli &amp; connected lines</t>
  </si>
  <si>
    <t>132kV SS Mekalavaripalli &amp; connected lines</t>
  </si>
  <si>
    <t>132kV SS Pullalacheruvu &amp; connected lines</t>
  </si>
  <si>
    <t>132kV SS Komarolu &amp; connected lines</t>
  </si>
  <si>
    <t>132kV SS Gudipadu &amp; connected lines</t>
  </si>
  <si>
    <t>132kV SS Vijalapuram &amp; connected lines</t>
  </si>
  <si>
    <t>132kV SS Gondiparla (E.Thandrapadu) &amp; connected lines</t>
  </si>
  <si>
    <t>220/33kV SS Kukunur &amp; connected lines</t>
  </si>
  <si>
    <t>132kV SS Hiramandalam &amp; connected lines</t>
  </si>
  <si>
    <t>Replacement of 2 Nos. 31.5 MVA PTRs in place of old 31.5MVA PTRs at 132 KV SSs Ramachandrapuram and Kasimkota</t>
  </si>
  <si>
    <t>Replacement of 1 No. 50 MVA PTR in place of old 50 MVA PTR s at 132 KV SS Punganur</t>
  </si>
  <si>
    <t>Replacement of 2 Nos. 100 MVA PTRs in place of old 100 MVA PTRs at 220 KV SSs Garividi, Bommuru</t>
  </si>
  <si>
    <t>Replacement of 15 Nos 220KV CBs, 28 Nos 132KV CBs &amp; 32 Nos 33KV CBs at various 220KV &amp; 132KV Sub-Stations</t>
  </si>
  <si>
    <t>Replacement of 18 Nos 220KV CVTs, 35 Nos 132KV CVTs at various 220KV &amp; 132KV Sub-Stations</t>
  </si>
  <si>
    <t>Replacement of 24 Nos 220KV Isolators, 100 Nos 132KV Isolators &amp; 108 Nos 33KV Isolators at various 220KV &amp; 132KV Sub-Stations</t>
  </si>
  <si>
    <t>Replacement of 4 Nos 220KV,  13 Nos 132KV &amp; 12 Nos 33KV feeder C&amp;R Panels at various 220KV &amp; 132KV Sub-Stations</t>
  </si>
  <si>
    <t>Replacement of 1 No 220KV and 4 Nos 132KV PTR C&amp;R Panels at various 220KV &amp; 132KV Sub-Stations</t>
  </si>
  <si>
    <t>Replacement of 28 Km 220KV line conductor with higher capacity conductor and with intermediate towers</t>
  </si>
  <si>
    <t>Replacement of 149.5 Km 132KV line conductor with higher capacity conductor and with intermediate towers</t>
  </si>
  <si>
    <t xml:space="preserve"> Providing of 445 Nos. 120KN &amp; 604 Nos. 70KN 220 KV Insulators</t>
  </si>
  <si>
    <t xml:space="preserve"> Providing of 649 Nos. 120KN &amp; 710 Nos. 70KN 132 KV Insulators</t>
  </si>
  <si>
    <t>Construction of New Control Room and Automation of Sub Station with SAS at 132 /33 KV SS K.Kota</t>
  </si>
  <si>
    <t>Construction of New Control Room and Automation of Sub Station with SAS at 132 /33 KV SS PT Palli</t>
  </si>
  <si>
    <t>Construction of New Control Room and Automation of Sub Station with SAS at 132 /33 KV SS Bhimavaram.</t>
  </si>
  <si>
    <t>Provision for conversion of 3 Nos. Conventional substations to GIS substations wherever it is possible / feasible</t>
  </si>
  <si>
    <t>Metal spreading, compound wall along with drains and office rooms for Lines sub division kadapa etc at 220/132/33 KV SS Kadapa</t>
  </si>
  <si>
    <t>Metal spreading repairs to control room and replacement of damaged earth grid, earth pits at 220/132 KV SS CK Palli Kadapa Dt</t>
  </si>
  <si>
    <t>Augmentation of PTR capacity through 220 KV class &amp; 132 KV class Transformers at 45 Nos. EHT substations</t>
  </si>
  <si>
    <t>132kV SS Buchireddypalem &amp; connected lines</t>
  </si>
  <si>
    <t>132kV SS Somasila &amp; connected lines</t>
  </si>
  <si>
    <t>132kV SS Dakkili &amp; connected lines</t>
  </si>
  <si>
    <t>132kV SS Jonnawada &amp; connected lines</t>
  </si>
  <si>
    <t>132kV SS Vidavaluru &amp; connected lines</t>
  </si>
  <si>
    <t>132kV SS Madugula &amp; connected lines</t>
  </si>
  <si>
    <t>132kV SS Peddakakani &amp; connected lines</t>
  </si>
  <si>
    <t>132kV SS Gurazala &amp; connected lines</t>
  </si>
  <si>
    <t>132kV SS Edlapadu &amp; connected lines</t>
  </si>
  <si>
    <t>132kV SS Galiveedu &amp; connected lines</t>
  </si>
  <si>
    <t>132kV SS Nandaluru &amp; connected lines</t>
  </si>
  <si>
    <t>132kV SS Lakkireddipalle &amp; connected lines</t>
  </si>
  <si>
    <t xml:space="preserve"> 220/33kV GIS SS Mandadam &amp; connected lines, CRDA</t>
  </si>
  <si>
    <t>132kV SS Kondagandredu &amp; connected lines</t>
  </si>
  <si>
    <t>132kV SS Alamanda &amp; connected lines</t>
  </si>
  <si>
    <t>Replacement of existing Zebra conductor with HTLS 220kV Lower Sileru-Bommuru</t>
  </si>
  <si>
    <t>Upgradation of 132kV SS Tadepalli to 220kV SS</t>
  </si>
  <si>
    <t>132kV SS Vuyyuru &amp; connected lines</t>
  </si>
  <si>
    <t>132kV SS Sarubujjili (Amadalavalasa) &amp; connected lines</t>
  </si>
  <si>
    <t>132kV SS Sompeta &amp; connected lines</t>
  </si>
  <si>
    <t>132kV SS Autonagar &amp; connected lines</t>
  </si>
  <si>
    <t>132kV SS NSTL  Area &amp; connected lines</t>
  </si>
  <si>
    <t>132kV SS Annavaram &amp; connected lines</t>
  </si>
  <si>
    <t>132kV SS Vatluru/Hanuman Junction &amp; connected lines</t>
  </si>
  <si>
    <t>132kV SS Dorasanipalli/ Tirumalampalem / Dwaraka Tirumala &amp; connected lines</t>
  </si>
  <si>
    <t>132kV SS Saripalli instead of Attili (Pippara) &amp; connected lines</t>
  </si>
  <si>
    <t>220/132/33kV SS Model Industrial Park at Mallavalli (V),Bapulapadu (M) &amp; connected lines</t>
  </si>
  <si>
    <t>33kV features at 220/132/33Kv Boksampalli HNSS substation</t>
  </si>
  <si>
    <t xml:space="preserve">33kV features at 132kV Switching station Nagalapuram 
</t>
  </si>
  <si>
    <t xml:space="preserve">33kV features at 132kV LIS substation Madakasira </t>
  </si>
  <si>
    <t>33kV features at 220/11kV Nansuralla HNSS substation</t>
  </si>
  <si>
    <t>33kV features at 220/11kV Krishnagiri HNSS substation</t>
  </si>
  <si>
    <t>132kV SS Nellimarla &amp; connected lines</t>
  </si>
  <si>
    <t>132kV SS GajapathiNagaram &amp; connected lines</t>
  </si>
  <si>
    <t>132kV SS Nekarikallu &amp; connected lines</t>
  </si>
  <si>
    <t>132kV SS Kosgi &amp; connected lines</t>
  </si>
  <si>
    <t>132kV SS Tida &amp; connected lines</t>
  </si>
  <si>
    <t>Gopavaram or Upgradation of 132kV SS Rudravaram  &amp; connected lines</t>
  </si>
  <si>
    <t>220/33kV SS Jakkampudi Economic city &amp; connected lines</t>
  </si>
  <si>
    <t xml:space="preserve">HTLS on 132kV Bommuru - Kondagunturu SC line 
</t>
  </si>
  <si>
    <t>132kV SS Chipurupalli &amp; connected lines</t>
  </si>
  <si>
    <t xml:space="preserve"> 220/33kV GIS SS Velagapudi &amp; connected lines, CRDA</t>
  </si>
  <si>
    <t xml:space="preserve">33kV features at Korukonda SWS </t>
  </si>
  <si>
    <t xml:space="preserve">33kV features at 220/132kV SS Bobbili Growth center 
</t>
  </si>
  <si>
    <t>132kV Gunadala-Autonagar SC line HTLS (LYNX Conductor)</t>
  </si>
  <si>
    <t xml:space="preserve">132kV DC Line for making LILO of 132kV Tadikonda – Marripalem feeder to 132kV SS Gujjanagundla 
</t>
  </si>
  <si>
    <t>HTLS on 132kV Kondagunturu-Editha SC line</t>
  </si>
  <si>
    <t>Replacement of 2 Nos. 31.5 MVA PTRs in place of old 31.5MVA PTRs at 132 KV SSs Chilakapalem and Koruprolu</t>
  </si>
  <si>
    <t>Replacement of 2 Nos. 100 MVA PTRs in place of old 100 MVA PTRs at 220 KV SSs Tadikonda and 400 KV SS Nellore</t>
  </si>
  <si>
    <t>Replacement of 14 Nos 220KV CBs, 28 Nos 132KV CBs &amp; 32 Nos 33KV CBs at various 220KV &amp; 132KV Sub-Stations</t>
  </si>
  <si>
    <t>Replacement of 24 Nos 220KV CTs, 75 Nos 132KV CTs &amp; 70 Nos 33KV CTs at various 220KV &amp; 132KV Sub-Stations</t>
  </si>
  <si>
    <t>Replacement of 8 Nos 220KV PTs, 24 Nos 132KV PTs &amp; 19 Nos 33KV PTs at various 220KV &amp; 132KV Sub-Stations</t>
  </si>
  <si>
    <t>Replacement of 29 Nos 220KV LAs, 87 Nos 132KV LAs &amp; 114 Nos 33KV LAs at various 220KV &amp; 132KV Sub-Stations</t>
  </si>
  <si>
    <t>Replacement of 25 Nos 220KV Isolators, 100 Nos 132KV Isolators &amp; 106 Nos 33KV Isolators at various 220KV &amp; 132KV Sub-Stations</t>
  </si>
  <si>
    <t>Replacement of 1.41 Km 220KV bus conductor, 2.37 Km 132KV bus conductor &amp; 0.65 Km 33KV bus conductor at various 220KV &amp; 132KV Sub-Stations</t>
  </si>
  <si>
    <t>Replacement of 26 Km 220KV line conductor with higher capacity conductor and with intermediate towers</t>
  </si>
  <si>
    <t>Replacement of 110 Km 132KV line conductor with higher capacity conductor and with intermediate towers</t>
  </si>
  <si>
    <t xml:space="preserve"> Providing of 2170 Nos. 220KV &amp; 242 Nos. 132KV Vibration Dampers</t>
  </si>
  <si>
    <t xml:space="preserve"> Providing of 444 Nos. 120KN &amp; 600 Nos. 70KN 220 KV Insulators</t>
  </si>
  <si>
    <t xml:space="preserve"> Providing of 649 Nos. 120KN &amp; 700 Nos. 70KN 132 KV Insulators</t>
  </si>
  <si>
    <t>Automation of 220/132/33 KV SS AP Carbides, Nandyal, 132/33 KV SS Kurnool and 132/33 KV SS Atmakur</t>
  </si>
  <si>
    <t>Construction of New Control Room and Automation of Sub Station with SAS at 132 /33 KV SS J.R.Gudem.</t>
  </si>
  <si>
    <t>Construction of New Control Room and Automation of Sub Station with SAS at 132 /33 KV SS Nidadavole</t>
  </si>
  <si>
    <t>Construction of New Control Room and Automation of Sub Station with SAS at 220/132/33 KV SS Ananthapur</t>
  </si>
  <si>
    <t>Construction of New Control Room and Automation of Sub Station with SAS at 220/132/33 KV SS Hindupuram</t>
  </si>
  <si>
    <t>Construction of New Control Room and Automation of Sub Station with SAS at 132 /33 KV SS Narasapuram</t>
  </si>
  <si>
    <t>Provision for conversion of 2 Nos. Conventional substations to GIS substations wherever it is possible / feasible</t>
  </si>
  <si>
    <t>Construction of new control room, Metal Spreading,Compound wall at 220/33 KV SS Mydukur</t>
  </si>
  <si>
    <t>Augmentation of PTR capacity through 220 KV class &amp; 132 KV class Transformers at 50 Nos. EHT substations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</si>
</sst>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0.0%"/>
    <numFmt numFmtId="180" formatCode="_(* #,##0.000_);_(* \(#,##0.000\);_(* &quot;-&quot;??_);_(@_)"/>
    <numFmt numFmtId="181" formatCode="_(* #,##0.0000_);_(* \(#,##0.0000\);_(* &quot;-&quot;??_);_(@_)"/>
    <numFmt numFmtId="182" formatCode="0.000"/>
    <numFmt numFmtId="183" formatCode="0.0000"/>
    <numFmt numFmtId="184" formatCode="0.00000"/>
    <numFmt numFmtId="185" formatCode="0.000000"/>
    <numFmt numFmtId="186" formatCode="0.0000000"/>
    <numFmt numFmtId="187" formatCode="0_);\(0\)"/>
    <numFmt numFmtId="188" formatCode="0.000%"/>
    <numFmt numFmtId="189" formatCode="0.0000%"/>
    <numFmt numFmtId="190" formatCode="0.000000%"/>
    <numFmt numFmtId="191" formatCode="0.00000%"/>
    <numFmt numFmtId="192" formatCode="0.00_);\(0.00\)"/>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0.00;[Red]#,##0.00"/>
    <numFmt numFmtId="200" formatCode="#,##0;[Red]#,##0"/>
  </numFmts>
  <fonts count="74">
    <font>
      <sz val="10"/>
      <name val="Arial"/>
      <family val="0"/>
    </font>
    <font>
      <b/>
      <sz val="10"/>
      <name val="Arial"/>
      <family val="2"/>
    </font>
    <font>
      <sz val="8"/>
      <name val="Arial"/>
      <family val="2"/>
    </font>
    <font>
      <b/>
      <u val="single"/>
      <sz val="10"/>
      <name val="Arial"/>
      <family val="2"/>
    </font>
    <font>
      <vertAlign val="subscript"/>
      <sz val="10"/>
      <name val="Arial"/>
      <family val="2"/>
    </font>
    <font>
      <b/>
      <i/>
      <sz val="10"/>
      <name val="Arial"/>
      <family val="2"/>
    </font>
    <font>
      <sz val="10"/>
      <color indexed="10"/>
      <name val="Arial"/>
      <family val="2"/>
    </font>
    <font>
      <b/>
      <u val="single"/>
      <sz val="12"/>
      <name val="Arial"/>
      <family val="2"/>
    </font>
    <font>
      <b/>
      <u val="single"/>
      <sz val="14"/>
      <name val="Arial"/>
      <family val="2"/>
    </font>
    <font>
      <b/>
      <sz val="14"/>
      <name val="Arial"/>
      <family val="2"/>
    </font>
    <font>
      <i/>
      <sz val="10"/>
      <name val="Arial"/>
      <family val="2"/>
    </font>
    <font>
      <u val="single"/>
      <sz val="10"/>
      <color indexed="12"/>
      <name val="Arial"/>
      <family val="2"/>
    </font>
    <font>
      <u val="single"/>
      <sz val="10"/>
      <color indexed="36"/>
      <name val="Arial"/>
      <family val="2"/>
    </font>
    <font>
      <sz val="11"/>
      <color indexed="8"/>
      <name val="Calibri"/>
      <family val="2"/>
    </font>
    <font>
      <sz val="12"/>
      <color indexed="63"/>
      <name val="Arial"/>
      <family val="2"/>
    </font>
    <font>
      <b/>
      <sz val="12"/>
      <color indexed="63"/>
      <name val="Arial"/>
      <family val="2"/>
    </font>
    <font>
      <sz val="12"/>
      <name val="Arial"/>
      <family val="2"/>
    </font>
    <font>
      <b/>
      <sz val="12"/>
      <name val="Arial"/>
      <family val="2"/>
    </font>
    <font>
      <sz val="10"/>
      <color indexed="8"/>
      <name val="Arial"/>
      <family val="2"/>
    </font>
    <font>
      <sz val="11"/>
      <name val="Arial"/>
      <family val="2"/>
    </font>
    <font>
      <b/>
      <sz val="11"/>
      <name val="Times New Roman"/>
      <family val="1"/>
    </font>
    <font>
      <sz val="11"/>
      <name val="Times New Roman"/>
      <family val="1"/>
    </font>
    <font>
      <sz val="9"/>
      <name val="Times New Roman"/>
      <family val="1"/>
    </font>
    <font>
      <b/>
      <sz val="9"/>
      <name val="Times New Roman"/>
      <family val="1"/>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b/>
      <sz val="10"/>
      <color indexed="9"/>
      <name val="Arial"/>
      <family val="2"/>
    </font>
    <font>
      <sz val="10"/>
      <color indexed="9"/>
      <name val="Arial"/>
      <family val="2"/>
    </font>
    <font>
      <b/>
      <sz val="9"/>
      <color indexed="9"/>
      <name val="Arial"/>
      <family val="2"/>
    </font>
    <font>
      <b/>
      <sz val="8"/>
      <color indexed="9"/>
      <name val="Arial"/>
      <family val="2"/>
    </font>
    <font>
      <sz val="11"/>
      <name val="Calibri"/>
      <family val="2"/>
    </font>
    <font>
      <sz val="9"/>
      <color indexed="9"/>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
      <sz val="10"/>
      <color rgb="FFFF0000"/>
      <name val="Arial"/>
      <family val="2"/>
    </font>
    <font>
      <b/>
      <sz val="10"/>
      <color theme="0"/>
      <name val="Arial"/>
      <family val="2"/>
    </font>
    <font>
      <sz val="10"/>
      <color theme="0"/>
      <name val="Arial"/>
      <family val="2"/>
    </font>
    <font>
      <b/>
      <sz val="9"/>
      <color theme="0"/>
      <name val="Arial"/>
      <family val="2"/>
    </font>
    <font>
      <b/>
      <sz val="8"/>
      <color theme="0"/>
      <name val="Arial"/>
      <family val="2"/>
    </font>
    <font>
      <sz val="11"/>
      <color theme="1"/>
      <name val="Times New Roman"/>
      <family val="1"/>
    </font>
    <font>
      <sz val="9"/>
      <color theme="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theme="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4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lignment/>
      <protection/>
    </xf>
    <xf numFmtId="0" fontId="54" fillId="0" borderId="0" applyNumberFormat="0" applyFill="0" applyBorder="0" applyAlignment="0" applyProtection="0"/>
    <xf numFmtId="0" fontId="12"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40">
    <xf numFmtId="0" fontId="0" fillId="0" borderId="0" xfId="0" applyAlignment="1">
      <alignment/>
    </xf>
    <xf numFmtId="2" fontId="0" fillId="0" borderId="0" xfId="63" applyNumberFormat="1">
      <alignment vertical="center"/>
      <protection/>
    </xf>
    <xf numFmtId="2" fontId="0" fillId="0" borderId="0" xfId="63" applyNumberFormat="1" applyFont="1">
      <alignment vertical="center"/>
      <protection/>
    </xf>
    <xf numFmtId="0" fontId="0" fillId="0" borderId="0" xfId="0" applyBorder="1" applyAlignment="1">
      <alignment/>
    </xf>
    <xf numFmtId="0" fontId="1" fillId="0" borderId="10" xfId="63" applyFont="1" applyBorder="1">
      <alignment vertical="center"/>
      <protection/>
    </xf>
    <xf numFmtId="0" fontId="0" fillId="0" borderId="10" xfId="63" applyBorder="1">
      <alignment vertical="center"/>
      <protection/>
    </xf>
    <xf numFmtId="2" fontId="1" fillId="0" borderId="10" xfId="63" applyNumberFormat="1" applyFont="1" applyFill="1" applyBorder="1">
      <alignment vertical="center"/>
      <protection/>
    </xf>
    <xf numFmtId="0" fontId="0" fillId="0" borderId="10" xfId="0" applyBorder="1" applyAlignment="1">
      <alignment/>
    </xf>
    <xf numFmtId="2" fontId="1" fillId="0" borderId="10" xfId="0" applyNumberFormat="1" applyFont="1" applyBorder="1" applyAlignment="1">
      <alignment/>
    </xf>
    <xf numFmtId="2" fontId="1" fillId="0" borderId="0" xfId="0" applyNumberFormat="1" applyFont="1" applyAlignment="1">
      <alignment/>
    </xf>
    <xf numFmtId="2" fontId="0" fillId="0" borderId="0" xfId="0" applyNumberFormat="1" applyFont="1" applyAlignment="1">
      <alignment/>
    </xf>
    <xf numFmtId="2" fontId="0" fillId="0" borderId="10" xfId="0" applyNumberFormat="1" applyBorder="1" applyAlignment="1">
      <alignment horizontal="left" indent="1"/>
    </xf>
    <xf numFmtId="2" fontId="1" fillId="0" borderId="10" xfId="0" applyNumberFormat="1" applyFont="1" applyFill="1" applyBorder="1" applyAlignment="1">
      <alignment/>
    </xf>
    <xf numFmtId="2" fontId="0" fillId="0" borderId="10" xfId="0" applyNumberFormat="1"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
    </xf>
    <xf numFmtId="0" fontId="1" fillId="0" borderId="10" xfId="0" applyFont="1" applyFill="1" applyBorder="1" applyAlignment="1">
      <alignment/>
    </xf>
    <xf numFmtId="0" fontId="0" fillId="0" borderId="10" xfId="0" applyFont="1" applyFill="1" applyBorder="1" applyAlignment="1">
      <alignment horizontal="left" indent="1"/>
    </xf>
    <xf numFmtId="0" fontId="1" fillId="0" borderId="10" xfId="0" applyFont="1" applyFill="1" applyBorder="1" applyAlignment="1">
      <alignment horizontal="left"/>
    </xf>
    <xf numFmtId="2" fontId="0" fillId="0" borderId="0" xfId="0" applyNumberFormat="1" applyAlignment="1">
      <alignment/>
    </xf>
    <xf numFmtId="2" fontId="0" fillId="0" borderId="10" xfId="0" applyNumberFormat="1" applyBorder="1" applyAlignment="1">
      <alignment vertical="center"/>
    </xf>
    <xf numFmtId="0" fontId="1" fillId="0" borderId="10" xfId="0" applyFont="1" applyBorder="1" applyAlignment="1">
      <alignment/>
    </xf>
    <xf numFmtId="2" fontId="1" fillId="0" borderId="0" xfId="0" applyNumberFormat="1" applyFont="1" applyAlignment="1">
      <alignment/>
    </xf>
    <xf numFmtId="0" fontId="1" fillId="0" borderId="10" xfId="0" applyFont="1" applyBorder="1" applyAlignment="1" quotePrefix="1">
      <alignment horizontal="left"/>
    </xf>
    <xf numFmtId="49" fontId="0" fillId="0" borderId="10" xfId="0" applyNumberFormat="1" applyFont="1" applyFill="1" applyBorder="1" applyAlignment="1">
      <alignment horizontal="left" indent="1"/>
    </xf>
    <xf numFmtId="0" fontId="1" fillId="0" borderId="10" xfId="0" applyFont="1" applyBorder="1" applyAlignment="1">
      <alignment horizontal="left"/>
    </xf>
    <xf numFmtId="0" fontId="1" fillId="0" borderId="0" xfId="0" applyFont="1" applyAlignment="1">
      <alignment/>
    </xf>
    <xf numFmtId="2" fontId="0" fillId="0" borderId="0" xfId="0" applyNumberFormat="1" applyFont="1" applyAlignment="1">
      <alignment horizontal="left"/>
    </xf>
    <xf numFmtId="0" fontId="1" fillId="0" borderId="11" xfId="0" applyFont="1" applyBorder="1" applyAlignment="1" quotePrefix="1">
      <alignment horizontal="left"/>
    </xf>
    <xf numFmtId="0" fontId="0" fillId="32" borderId="10" xfId="0" applyFill="1" applyBorder="1" applyAlignment="1">
      <alignment/>
    </xf>
    <xf numFmtId="2" fontId="1" fillId="32" borderId="10" xfId="0" applyNumberFormat="1" applyFont="1" applyFill="1" applyBorder="1" applyAlignment="1">
      <alignment/>
    </xf>
    <xf numFmtId="2" fontId="0" fillId="0" borderId="0" xfId="0" applyNumberFormat="1" applyFont="1" applyAlignment="1">
      <alignment/>
    </xf>
    <xf numFmtId="0" fontId="0" fillId="0" borderId="10" xfId="0" applyFont="1" applyBorder="1" applyAlignment="1">
      <alignment/>
    </xf>
    <xf numFmtId="0" fontId="3" fillId="0" borderId="10" xfId="0" applyFont="1" applyBorder="1" applyAlignment="1">
      <alignment/>
    </xf>
    <xf numFmtId="0" fontId="1" fillId="0" borderId="10" xfId="0" applyFont="1" applyBorder="1" applyAlignment="1">
      <alignment horizontal="left" indent="1"/>
    </xf>
    <xf numFmtId="0" fontId="0" fillId="0" borderId="10" xfId="0" applyFont="1" applyBorder="1" applyAlignment="1">
      <alignment horizontal="left" indent="1"/>
    </xf>
    <xf numFmtId="0" fontId="1" fillId="0" borderId="10" xfId="0" applyFont="1" applyFill="1" applyBorder="1" applyAlignment="1">
      <alignment vertical="center"/>
    </xf>
    <xf numFmtId="2" fontId="0" fillId="0" borderId="10" xfId="0" applyNumberFormat="1" applyFont="1" applyFill="1" applyBorder="1" applyAlignment="1">
      <alignment/>
    </xf>
    <xf numFmtId="0" fontId="0" fillId="0" borderId="12" xfId="0" applyFont="1" applyBorder="1" applyAlignment="1">
      <alignment/>
    </xf>
    <xf numFmtId="2" fontId="0" fillId="0" borderId="10" xfId="0" applyNumberFormat="1" applyFont="1" applyBorder="1" applyAlignment="1">
      <alignment/>
    </xf>
    <xf numFmtId="2" fontId="0" fillId="0" borderId="10" xfId="0" applyNumberFormat="1" applyFont="1" applyBorder="1" applyAlignment="1">
      <alignment/>
    </xf>
    <xf numFmtId="2" fontId="1" fillId="32" borderId="10" xfId="0" applyNumberFormat="1" applyFont="1" applyFill="1" applyBorder="1" applyAlignment="1">
      <alignment horizontal="center"/>
    </xf>
    <xf numFmtId="2" fontId="1" fillId="0" borderId="0" xfId="63" applyNumberFormat="1" applyFont="1">
      <alignment vertical="center"/>
      <protection/>
    </xf>
    <xf numFmtId="2" fontId="0" fillId="0" borderId="0" xfId="63" applyNumberFormat="1" applyFont="1">
      <alignment vertical="center"/>
      <protection/>
    </xf>
    <xf numFmtId="2" fontId="0" fillId="0" borderId="10" xfId="63" applyNumberFormat="1" applyFont="1" applyBorder="1" applyAlignment="1">
      <alignment/>
      <protection/>
    </xf>
    <xf numFmtId="2" fontId="0" fillId="0" borderId="10" xfId="63" applyNumberFormat="1" applyBorder="1">
      <alignment vertical="center"/>
      <protection/>
    </xf>
    <xf numFmtId="0" fontId="0" fillId="0" borderId="0" xfId="63" applyFont="1">
      <alignment vertical="center"/>
      <protection/>
    </xf>
    <xf numFmtId="2" fontId="1" fillId="32" borderId="10" xfId="63" applyNumberFormat="1" applyFont="1" applyFill="1" applyBorder="1" applyAlignment="1">
      <alignment horizontal="center"/>
      <protection/>
    </xf>
    <xf numFmtId="0" fontId="0" fillId="0" borderId="10" xfId="0" applyBorder="1" applyAlignment="1">
      <alignment horizontal="left" indent="1"/>
    </xf>
    <xf numFmtId="0" fontId="1" fillId="0" borderId="10" xfId="0" applyFont="1" applyBorder="1" applyAlignment="1">
      <alignment/>
    </xf>
    <xf numFmtId="2" fontId="0" fillId="0" borderId="0" xfId="0" applyNumberFormat="1" applyAlignment="1">
      <alignment horizontal="center" vertical="center"/>
    </xf>
    <xf numFmtId="2" fontId="0" fillId="0" borderId="10" xfId="0" applyNumberFormat="1" applyFill="1" applyBorder="1" applyAlignment="1">
      <alignment horizontal="center" vertical="center"/>
    </xf>
    <xf numFmtId="2" fontId="0" fillId="0" borderId="10" xfId="0" applyNumberFormat="1" applyFill="1" applyBorder="1" applyAlignment="1">
      <alignment wrapText="1"/>
    </xf>
    <xf numFmtId="2" fontId="0" fillId="0" borderId="10" xfId="0" applyNumberFormat="1" applyFont="1" applyFill="1" applyBorder="1" applyAlignment="1" applyProtection="1">
      <alignment vertical="top" wrapText="1"/>
      <protection locked="0"/>
    </xf>
    <xf numFmtId="2" fontId="0" fillId="0" borderId="10" xfId="0" applyNumberFormat="1" applyFont="1" applyFill="1" applyBorder="1" applyAlignment="1">
      <alignment vertical="top" wrapText="1"/>
    </xf>
    <xf numFmtId="2" fontId="1" fillId="0" borderId="10" xfId="0" applyNumberFormat="1" applyFont="1" applyFill="1" applyBorder="1" applyAlignment="1">
      <alignment horizontal="center"/>
    </xf>
    <xf numFmtId="0" fontId="1" fillId="0" borderId="0" xfId="63" applyFont="1">
      <alignment vertical="center"/>
      <protection/>
    </xf>
    <xf numFmtId="0" fontId="0" fillId="0" borderId="0" xfId="63">
      <alignment vertical="center"/>
      <protection/>
    </xf>
    <xf numFmtId="2" fontId="0" fillId="0" borderId="10" xfId="63" applyNumberFormat="1" applyFont="1" applyBorder="1" applyAlignment="1">
      <alignment wrapText="1"/>
      <protection/>
    </xf>
    <xf numFmtId="2" fontId="1" fillId="32" borderId="10" xfId="63" applyNumberFormat="1" applyFont="1" applyFill="1" applyBorder="1" applyAlignment="1">
      <alignment horizontal="right"/>
      <protection/>
    </xf>
    <xf numFmtId="2" fontId="1" fillId="0" borderId="0" xfId="0" applyNumberFormat="1" applyFont="1" applyAlignment="1">
      <alignment horizontal="left"/>
    </xf>
    <xf numFmtId="2" fontId="1" fillId="0" borderId="0" xfId="0" applyNumberFormat="1" applyFont="1" applyAlignment="1">
      <alignment horizontal="right"/>
    </xf>
    <xf numFmtId="2" fontId="1" fillId="0" borderId="10" xfId="0" applyNumberFormat="1" applyFont="1" applyBorder="1" applyAlignment="1">
      <alignment horizontal="left" vertical="center"/>
    </xf>
    <xf numFmtId="0" fontId="0" fillId="0" borderId="10" xfId="0" applyBorder="1" applyAlignment="1">
      <alignment horizontal="center"/>
    </xf>
    <xf numFmtId="0" fontId="0" fillId="0" borderId="10" xfId="0" applyBorder="1" applyAlignment="1">
      <alignment horizontal="left"/>
    </xf>
    <xf numFmtId="178" fontId="0" fillId="0" borderId="10" xfId="0" applyNumberFormat="1" applyBorder="1" applyAlignment="1">
      <alignment horizontal="center"/>
    </xf>
    <xf numFmtId="0" fontId="0" fillId="0" borderId="10" xfId="0" applyBorder="1" applyAlignment="1">
      <alignment vertical="center"/>
    </xf>
    <xf numFmtId="0" fontId="0" fillId="0" borderId="0" xfId="0" applyAlignment="1">
      <alignment vertical="center"/>
    </xf>
    <xf numFmtId="2" fontId="1" fillId="0" borderId="10" xfId="0" applyNumberFormat="1" applyFont="1" applyBorder="1" applyAlignment="1">
      <alignment horizontal="center" vertical="center"/>
    </xf>
    <xf numFmtId="182" fontId="0" fillId="0" borderId="10" xfId="63" applyNumberFormat="1" applyFont="1" applyFill="1" applyBorder="1" applyAlignment="1" quotePrefix="1">
      <alignment horizontal="center"/>
      <protection/>
    </xf>
    <xf numFmtId="2" fontId="0" fillId="0" borderId="10" xfId="63" applyNumberFormat="1" applyFill="1" applyBorder="1" applyProtection="1">
      <alignment vertical="center"/>
      <protection locked="0"/>
    </xf>
    <xf numFmtId="0" fontId="0" fillId="0" borderId="10" xfId="63" applyFont="1" applyFill="1" applyBorder="1" applyAlignment="1">
      <alignment horizontal="left" vertical="center"/>
      <protection/>
    </xf>
    <xf numFmtId="0" fontId="0" fillId="0" borderId="10" xfId="63" applyFont="1" applyFill="1" applyBorder="1" applyAlignment="1">
      <alignment horizontal="left" vertical="center" indent="2"/>
      <protection/>
    </xf>
    <xf numFmtId="0" fontId="1" fillId="0" borderId="10" xfId="63" applyFont="1" applyFill="1" applyBorder="1" applyAlignment="1">
      <alignment horizontal="center" vertical="center"/>
      <protection/>
    </xf>
    <xf numFmtId="0" fontId="1" fillId="0" borderId="10" xfId="63" applyFont="1" applyFill="1" applyBorder="1" applyAlignment="1">
      <alignment horizontal="center" vertical="center" wrapText="1"/>
      <protection/>
    </xf>
    <xf numFmtId="0" fontId="0" fillId="0" borderId="10" xfId="63" applyFont="1" applyFill="1" applyBorder="1" applyAlignment="1">
      <alignment vertical="center" wrapText="1"/>
      <protection/>
    </xf>
    <xf numFmtId="0" fontId="0" fillId="0" borderId="0" xfId="0" applyNumberFormat="1" applyFont="1" applyAlignment="1">
      <alignment/>
    </xf>
    <xf numFmtId="0" fontId="3" fillId="0" borderId="0" xfId="0" applyFont="1" applyAlignment="1">
      <alignment/>
    </xf>
    <xf numFmtId="0" fontId="0" fillId="0" borderId="10" xfId="63" applyFill="1" applyBorder="1" applyAlignment="1">
      <alignment horizontal="center" vertical="center"/>
      <protection/>
    </xf>
    <xf numFmtId="2" fontId="0" fillId="0" borderId="0" xfId="0" applyNumberFormat="1" applyAlignment="1">
      <alignment horizontal="center"/>
    </xf>
    <xf numFmtId="2" fontId="1" fillId="0" borderId="0" xfId="0" applyNumberFormat="1" applyFont="1" applyAlignment="1">
      <alignment horizontal="center"/>
    </xf>
    <xf numFmtId="2" fontId="1" fillId="0" borderId="10" xfId="63" applyNumberFormat="1" applyFont="1" applyFill="1" applyBorder="1" applyAlignment="1">
      <alignment horizontal="center" vertical="center" wrapText="1"/>
      <protection/>
    </xf>
    <xf numFmtId="2" fontId="0" fillId="0" borderId="10" xfId="0" applyNumberFormat="1" applyFont="1" applyBorder="1" applyAlignment="1">
      <alignment horizontal="left"/>
    </xf>
    <xf numFmtId="2" fontId="0" fillId="0" borderId="10" xfId="0" applyNumberFormat="1" applyFont="1" applyFill="1" applyBorder="1" applyAlignment="1">
      <alignment/>
    </xf>
    <xf numFmtId="2" fontId="1" fillId="0" borderId="0" xfId="0" applyNumberFormat="1" applyFont="1" applyBorder="1" applyAlignment="1">
      <alignment horizontal="left"/>
    </xf>
    <xf numFmtId="0" fontId="2" fillId="0" borderId="0" xfId="0" applyFont="1" applyAlignment="1">
      <alignment/>
    </xf>
    <xf numFmtId="0" fontId="1" fillId="0" borderId="10" xfId="0" applyFont="1" applyBorder="1" applyAlignment="1">
      <alignment horizontal="center"/>
    </xf>
    <xf numFmtId="10" fontId="1" fillId="0" borderId="0" xfId="0" applyNumberFormat="1" applyFont="1" applyAlignment="1">
      <alignment horizontal="center"/>
    </xf>
    <xf numFmtId="2" fontId="0" fillId="0" borderId="0" xfId="0" applyNumberFormat="1" applyFont="1" applyAlignment="1">
      <alignment wrapText="1"/>
    </xf>
    <xf numFmtId="2" fontId="0" fillId="0" borderId="0" xfId="0" applyNumberFormat="1" applyFont="1" applyAlignment="1">
      <alignment horizontal="center"/>
    </xf>
    <xf numFmtId="10" fontId="0" fillId="0" borderId="0" xfId="0" applyNumberFormat="1" applyFont="1" applyAlignment="1">
      <alignment/>
    </xf>
    <xf numFmtId="182" fontId="0" fillId="0" borderId="10" xfId="0" applyNumberFormat="1" applyBorder="1" applyAlignment="1">
      <alignment horizontal="center"/>
    </xf>
    <xf numFmtId="0" fontId="6" fillId="32" borderId="10" xfId="0" applyFont="1" applyFill="1" applyBorder="1" applyAlignment="1">
      <alignment/>
    </xf>
    <xf numFmtId="0" fontId="6" fillId="32" borderId="10" xfId="0" applyFont="1" applyFill="1" applyBorder="1" applyAlignment="1">
      <alignment horizontal="center"/>
    </xf>
    <xf numFmtId="0" fontId="0" fillId="32" borderId="10" xfId="0" applyFill="1" applyBorder="1" applyAlignment="1">
      <alignment horizontal="center"/>
    </xf>
    <xf numFmtId="2" fontId="0" fillId="0" borderId="10" xfId="0" applyNumberFormat="1" applyFont="1" applyFill="1" applyBorder="1" applyAlignment="1">
      <alignment horizontal="left" vertical="top" wrapText="1"/>
    </xf>
    <xf numFmtId="2" fontId="0" fillId="0" borderId="10" xfId="0" applyNumberFormat="1" applyFont="1" applyBorder="1" applyAlignment="1">
      <alignment horizontal="left" vertical="top" wrapText="1"/>
    </xf>
    <xf numFmtId="2" fontId="0" fillId="0" borderId="10" xfId="0" applyNumberFormat="1" applyFill="1" applyBorder="1" applyAlignment="1">
      <alignment horizontal="left" vertical="center" indent="2"/>
    </xf>
    <xf numFmtId="2" fontId="0" fillId="0" borderId="10" xfId="0" applyNumberFormat="1" applyBorder="1" applyAlignment="1">
      <alignment horizontal="left" vertical="center" indent="2"/>
    </xf>
    <xf numFmtId="2" fontId="1" fillId="0" borderId="10" xfId="0" applyNumberFormat="1" applyFont="1" applyBorder="1" applyAlignment="1">
      <alignment horizontal="left" vertical="center" indent="2"/>
    </xf>
    <xf numFmtId="2" fontId="0" fillId="0" borderId="10" xfId="0" applyNumberFormat="1" applyBorder="1" applyAlignment="1">
      <alignment horizontal="left" vertical="center" indent="4"/>
    </xf>
    <xf numFmtId="0" fontId="7" fillId="0" borderId="10" xfId="0" applyFont="1" applyBorder="1" applyAlignment="1">
      <alignment/>
    </xf>
    <xf numFmtId="0" fontId="1" fillId="0" borderId="0" xfId="0" applyNumberFormat="1" applyFont="1" applyAlignment="1">
      <alignment/>
    </xf>
    <xf numFmtId="0" fontId="1" fillId="0" borderId="0" xfId="0" applyNumberFormat="1" applyFont="1" applyAlignment="1">
      <alignment horizontal="left"/>
    </xf>
    <xf numFmtId="0" fontId="0" fillId="0" borderId="0" xfId="0" applyNumberFormat="1" applyFont="1" applyAlignment="1">
      <alignment/>
    </xf>
    <xf numFmtId="0" fontId="0" fillId="0" borderId="0" xfId="0" applyFill="1" applyBorder="1" applyAlignment="1">
      <alignment horizontal="left"/>
    </xf>
    <xf numFmtId="2" fontId="1" fillId="32" borderId="10" xfId="0" applyNumberFormat="1" applyFont="1" applyFill="1" applyBorder="1" applyAlignment="1">
      <alignment horizontal="center" vertical="center" wrapText="1"/>
    </xf>
    <xf numFmtId="2" fontId="1" fillId="32" borderId="10" xfId="63" applyNumberFormat="1" applyFont="1" applyFill="1" applyBorder="1" applyAlignment="1">
      <alignment horizontal="center" vertical="center"/>
      <protection/>
    </xf>
    <xf numFmtId="2" fontId="1" fillId="32" borderId="12" xfId="63" applyNumberFormat="1" applyFont="1" applyFill="1" applyBorder="1" applyAlignment="1">
      <alignment horizontal="center" vertical="center"/>
      <protection/>
    </xf>
    <xf numFmtId="0" fontId="0" fillId="0" borderId="0" xfId="0" applyFill="1" applyAlignment="1">
      <alignment/>
    </xf>
    <xf numFmtId="2" fontId="6" fillId="0" borderId="10" xfId="0" applyNumberFormat="1" applyFont="1" applyBorder="1" applyAlignment="1">
      <alignment/>
    </xf>
    <xf numFmtId="0" fontId="6" fillId="0" borderId="10" xfId="0" applyFont="1" applyBorder="1" applyAlignment="1">
      <alignment/>
    </xf>
    <xf numFmtId="0" fontId="0" fillId="0" borderId="0" xfId="0" applyFill="1" applyBorder="1" applyAlignment="1">
      <alignment/>
    </xf>
    <xf numFmtId="9" fontId="0" fillId="0" borderId="0" xfId="0" applyNumberFormat="1" applyAlignment="1">
      <alignment/>
    </xf>
    <xf numFmtId="2" fontId="6" fillId="0" borderId="10" xfId="0" applyNumberFormat="1" applyFont="1" applyBorder="1" applyAlignment="1">
      <alignment horizontal="left"/>
    </xf>
    <xf numFmtId="0" fontId="1" fillId="0" borderId="10" xfId="0" applyFont="1" applyBorder="1" applyAlignment="1">
      <alignment vertical="center"/>
    </xf>
    <xf numFmtId="0" fontId="0" fillId="0" borderId="10" xfId="0" applyFont="1" applyFill="1" applyBorder="1" applyAlignment="1">
      <alignment horizontal="left" vertical="center"/>
    </xf>
    <xf numFmtId="10" fontId="0" fillId="0" borderId="10" xfId="0" applyNumberFormat="1" applyBorder="1" applyAlignment="1">
      <alignment vertical="center"/>
    </xf>
    <xf numFmtId="0" fontId="0" fillId="0" borderId="10" xfId="0" applyFill="1" applyBorder="1" applyAlignment="1">
      <alignment horizontal="left" vertical="center"/>
    </xf>
    <xf numFmtId="10" fontId="1" fillId="0" borderId="10" xfId="0" applyNumberFormat="1" applyFont="1" applyBorder="1" applyAlignment="1">
      <alignment vertical="center"/>
    </xf>
    <xf numFmtId="0" fontId="0" fillId="0" borderId="0" xfId="0" applyBorder="1" applyAlignment="1">
      <alignment vertical="center"/>
    </xf>
    <xf numFmtId="2" fontId="1" fillId="0" borderId="10" xfId="0" applyNumberFormat="1" applyFont="1" applyBorder="1" applyAlignment="1">
      <alignment vertical="center"/>
    </xf>
    <xf numFmtId="0" fontId="1" fillId="0" borderId="13" xfId="0" applyFon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2" fontId="1" fillId="0" borderId="13" xfId="0" applyNumberFormat="1" applyFont="1" applyBorder="1" applyAlignment="1">
      <alignment vertical="center"/>
    </xf>
    <xf numFmtId="0" fontId="1" fillId="0" borderId="10" xfId="0" applyFont="1" applyBorder="1" applyAlignment="1">
      <alignment horizontal="center" vertical="center"/>
    </xf>
    <xf numFmtId="9" fontId="0" fillId="0" borderId="10" xfId="0" applyNumberFormat="1" applyBorder="1" applyAlignment="1">
      <alignment vertical="center"/>
    </xf>
    <xf numFmtId="1" fontId="0" fillId="0" borderId="10" xfId="0" applyNumberFormat="1" applyBorder="1" applyAlignment="1">
      <alignment vertical="center"/>
    </xf>
    <xf numFmtId="0" fontId="3" fillId="0" borderId="10" xfId="0" applyFont="1" applyBorder="1" applyAlignment="1">
      <alignment vertical="center"/>
    </xf>
    <xf numFmtId="0" fontId="0" fillId="0" borderId="10" xfId="0" applyFont="1" applyBorder="1" applyAlignment="1">
      <alignment vertical="center"/>
    </xf>
    <xf numFmtId="0" fontId="0" fillId="0" borderId="13" xfId="0" applyBorder="1" applyAlignment="1">
      <alignment/>
    </xf>
    <xf numFmtId="0" fontId="1" fillId="0" borderId="13" xfId="0" applyFont="1" applyBorder="1" applyAlignment="1">
      <alignment horizontal="center"/>
    </xf>
    <xf numFmtId="2" fontId="1" fillId="0" borderId="13" xfId="0" applyNumberFormat="1" applyFont="1" applyBorder="1" applyAlignment="1">
      <alignment/>
    </xf>
    <xf numFmtId="10" fontId="5" fillId="0" borderId="10" xfId="0" applyNumberFormat="1" applyFont="1" applyBorder="1" applyAlignment="1">
      <alignment vertical="center"/>
    </xf>
    <xf numFmtId="2" fontId="5" fillId="0" borderId="10" xfId="0" applyNumberFormat="1" applyFont="1" applyBorder="1" applyAlignment="1">
      <alignment vertical="center"/>
    </xf>
    <xf numFmtId="0" fontId="10" fillId="0" borderId="10" xfId="0" applyFont="1" applyBorder="1" applyAlignment="1">
      <alignment vertical="center"/>
    </xf>
    <xf numFmtId="1" fontId="5" fillId="0" borderId="10" xfId="0" applyNumberFormat="1" applyFont="1" applyBorder="1" applyAlignment="1">
      <alignment vertical="center"/>
    </xf>
    <xf numFmtId="0" fontId="5" fillId="0" borderId="10" xfId="0" applyFont="1" applyBorder="1" applyAlignment="1">
      <alignment vertical="center"/>
    </xf>
    <xf numFmtId="1" fontId="0" fillId="0" borderId="0" xfId="0" applyNumberFormat="1" applyAlignment="1">
      <alignment/>
    </xf>
    <xf numFmtId="0" fontId="1" fillId="0" borderId="10" xfId="0" applyFont="1" applyBorder="1" applyAlignment="1">
      <alignment horizontal="right" vertical="center"/>
    </xf>
    <xf numFmtId="2" fontId="1" fillId="0" borderId="10" xfId="0" applyNumberFormat="1" applyFont="1" applyBorder="1" applyAlignment="1">
      <alignment horizontal="right" vertical="center"/>
    </xf>
    <xf numFmtId="0" fontId="5" fillId="0" borderId="0" xfId="0" applyFont="1" applyAlignment="1">
      <alignment vertical="center"/>
    </xf>
    <xf numFmtId="0" fontId="5" fillId="32" borderId="10" xfId="0" applyFont="1" applyFill="1" applyBorder="1" applyAlignment="1">
      <alignment horizontal="left" vertical="center"/>
    </xf>
    <xf numFmtId="2" fontId="5" fillId="32" borderId="10" xfId="0" applyNumberFormat="1" applyFont="1" applyFill="1" applyBorder="1" applyAlignment="1">
      <alignment horizontal="right" vertical="center"/>
    </xf>
    <xf numFmtId="0" fontId="5" fillId="32" borderId="10" xfId="0" applyFont="1" applyFill="1" applyBorder="1" applyAlignment="1">
      <alignment horizontal="right" vertical="center"/>
    </xf>
    <xf numFmtId="10" fontId="5" fillId="32" borderId="10" xfId="67" applyNumberFormat="1" applyFont="1" applyFill="1" applyBorder="1" applyAlignment="1">
      <alignment horizontal="right" vertical="center"/>
    </xf>
    <xf numFmtId="1" fontId="5" fillId="32" borderId="10" xfId="0" applyNumberFormat="1" applyFont="1" applyFill="1" applyBorder="1" applyAlignment="1">
      <alignment horizontal="right" vertical="center"/>
    </xf>
    <xf numFmtId="10" fontId="0" fillId="0" borderId="10" xfId="0" applyNumberFormat="1" applyBorder="1" applyAlignment="1">
      <alignment/>
    </xf>
    <xf numFmtId="2" fontId="0" fillId="0" borderId="0" xfId="0" applyNumberFormat="1" applyBorder="1" applyAlignment="1">
      <alignment/>
    </xf>
    <xf numFmtId="0" fontId="0" fillId="0" borderId="0" xfId="0" applyFont="1" applyFill="1" applyBorder="1" applyAlignment="1">
      <alignment/>
    </xf>
    <xf numFmtId="10" fontId="0" fillId="0" borderId="0" xfId="0" applyNumberFormat="1" applyAlignment="1">
      <alignment/>
    </xf>
    <xf numFmtId="0" fontId="0" fillId="0" borderId="10" xfId="0" applyFont="1" applyBorder="1" applyAlignment="1">
      <alignment horizontal="left" wrapText="1"/>
    </xf>
    <xf numFmtId="1" fontId="0" fillId="33" borderId="10" xfId="0" applyNumberFormat="1" applyFont="1" applyFill="1" applyBorder="1" applyAlignment="1">
      <alignment vertical="center"/>
    </xf>
    <xf numFmtId="0" fontId="0" fillId="33" borderId="10" xfId="0" applyFont="1" applyFill="1" applyBorder="1" applyAlignment="1">
      <alignment vertical="center"/>
    </xf>
    <xf numFmtId="2" fontId="1" fillId="34" borderId="0" xfId="0" applyNumberFormat="1" applyFont="1" applyFill="1" applyBorder="1" applyAlignment="1" applyProtection="1">
      <alignment horizontal="left" vertical="center"/>
      <protection/>
    </xf>
    <xf numFmtId="2" fontId="66" fillId="0" borderId="10" xfId="0" applyNumberFormat="1" applyFont="1" applyBorder="1" applyAlignment="1">
      <alignment/>
    </xf>
    <xf numFmtId="0" fontId="67" fillId="0" borderId="10" xfId="0" applyFont="1" applyBorder="1" applyAlignment="1">
      <alignment/>
    </xf>
    <xf numFmtId="2" fontId="1" fillId="33" borderId="10" xfId="0" applyNumberFormat="1" applyFont="1" applyFill="1" applyBorder="1" applyAlignment="1">
      <alignment/>
    </xf>
    <xf numFmtId="2" fontId="0" fillId="33" borderId="10" xfId="0" applyNumberFormat="1" applyFill="1" applyBorder="1" applyAlignment="1">
      <alignment/>
    </xf>
    <xf numFmtId="0" fontId="67" fillId="0" borderId="0" xfId="0" applyFont="1" applyAlignment="1">
      <alignment vertical="center"/>
    </xf>
    <xf numFmtId="2" fontId="0" fillId="0" borderId="10" xfId="0" applyNumberFormat="1" applyFont="1" applyBorder="1" applyAlignment="1">
      <alignment horizontal="left" vertical="center" indent="4"/>
    </xf>
    <xf numFmtId="2" fontId="0" fillId="0" borderId="10" xfId="63" applyNumberFormat="1" applyFont="1" applyFill="1" applyBorder="1" applyAlignment="1">
      <alignment/>
      <protection/>
    </xf>
    <xf numFmtId="2" fontId="1" fillId="0" borderId="10" xfId="63" applyNumberFormat="1" applyFont="1" applyFill="1" applyBorder="1" applyAlignment="1">
      <alignment/>
      <protection/>
    </xf>
    <xf numFmtId="2" fontId="0" fillId="0" borderId="10" xfId="0" applyNumberFormat="1" applyFont="1" applyFill="1" applyBorder="1" applyAlignment="1">
      <alignment horizontal="left" vertical="center" indent="2"/>
    </xf>
    <xf numFmtId="2" fontId="0" fillId="0" borderId="10" xfId="0" applyNumberFormat="1" applyFont="1" applyFill="1" applyBorder="1" applyAlignment="1">
      <alignment wrapText="1"/>
    </xf>
    <xf numFmtId="0" fontId="0" fillId="35" borderId="10" xfId="0" applyFont="1" applyFill="1" applyBorder="1" applyAlignment="1">
      <alignment/>
    </xf>
    <xf numFmtId="0" fontId="0" fillId="35" borderId="0" xfId="0" applyFont="1" applyFill="1" applyAlignment="1">
      <alignment/>
    </xf>
    <xf numFmtId="2" fontId="0" fillId="35" borderId="0" xfId="0" applyNumberFormat="1" applyFont="1" applyFill="1" applyAlignment="1">
      <alignment/>
    </xf>
    <xf numFmtId="0" fontId="0" fillId="0" borderId="10" xfId="60" applyBorder="1">
      <alignment/>
      <protection/>
    </xf>
    <xf numFmtId="2" fontId="0" fillId="0" borderId="10" xfId="56" applyNumberFormat="1" applyFont="1" applyBorder="1" applyAlignment="1" applyProtection="1">
      <alignment/>
      <protection/>
    </xf>
    <xf numFmtId="0" fontId="66" fillId="0" borderId="10" xfId="0" applyFont="1" applyBorder="1" applyAlignment="1">
      <alignment/>
    </xf>
    <xf numFmtId="2" fontId="1" fillId="0" borderId="0" xfId="0" applyNumberFormat="1" applyFont="1" applyFill="1" applyBorder="1" applyAlignment="1">
      <alignment/>
    </xf>
    <xf numFmtId="178" fontId="0" fillId="0" borderId="0" xfId="0" applyNumberFormat="1" applyAlignment="1">
      <alignment/>
    </xf>
    <xf numFmtId="0" fontId="14" fillId="36" borderId="0" xfId="0" applyFont="1" applyFill="1" applyAlignment="1">
      <alignment horizontal="center"/>
    </xf>
    <xf numFmtId="0" fontId="14" fillId="36" borderId="0" xfId="0" applyFont="1" applyFill="1" applyAlignment="1">
      <alignment/>
    </xf>
    <xf numFmtId="0" fontId="15" fillId="36" borderId="0" xfId="0" applyFont="1" applyFill="1" applyAlignment="1">
      <alignment horizontal="center"/>
    </xf>
    <xf numFmtId="0" fontId="15" fillId="36" borderId="0" xfId="0" applyFont="1" applyFill="1" applyAlignment="1">
      <alignment/>
    </xf>
    <xf numFmtId="0" fontId="14" fillId="36" borderId="0" xfId="0" applyFont="1" applyFill="1" applyAlignment="1">
      <alignment/>
    </xf>
    <xf numFmtId="0" fontId="14" fillId="36" borderId="14" xfId="0" applyFont="1" applyFill="1" applyBorder="1" applyAlignment="1">
      <alignment/>
    </xf>
    <xf numFmtId="0" fontId="14" fillId="36" borderId="0" xfId="0" applyFont="1" applyFill="1" applyBorder="1" applyAlignment="1">
      <alignment/>
    </xf>
    <xf numFmtId="0" fontId="14" fillId="36" borderId="10" xfId="0" applyFont="1" applyFill="1" applyBorder="1" applyAlignment="1">
      <alignment horizontal="center" vertical="center" wrapText="1"/>
    </xf>
    <xf numFmtId="0" fontId="15" fillId="36" borderId="10" xfId="0" applyFont="1" applyFill="1" applyBorder="1" applyAlignment="1">
      <alignment horizontal="center" vertical="center" wrapText="1"/>
    </xf>
    <xf numFmtId="0" fontId="14" fillId="36" borderId="10" xfId="0" applyFont="1" applyFill="1" applyBorder="1" applyAlignment="1">
      <alignment horizontal="center"/>
    </xf>
    <xf numFmtId="0" fontId="14" fillId="36" borderId="10" xfId="0" applyFont="1" applyFill="1" applyBorder="1" applyAlignment="1">
      <alignment/>
    </xf>
    <xf numFmtId="192" fontId="14" fillId="36" borderId="10" xfId="0" applyNumberFormat="1" applyFont="1" applyFill="1" applyBorder="1" applyAlignment="1">
      <alignment/>
    </xf>
    <xf numFmtId="192" fontId="14" fillId="36" borderId="10" xfId="0" applyNumberFormat="1" applyFont="1" applyFill="1" applyBorder="1" applyAlignment="1">
      <alignment horizontal="right"/>
    </xf>
    <xf numFmtId="0" fontId="16" fillId="36" borderId="10" xfId="0" applyFont="1" applyFill="1" applyBorder="1" applyAlignment="1">
      <alignment/>
    </xf>
    <xf numFmtId="192" fontId="16" fillId="36" borderId="10" xfId="0" applyNumberFormat="1" applyFont="1" applyFill="1" applyBorder="1" applyAlignment="1">
      <alignment horizontal="right"/>
    </xf>
    <xf numFmtId="0" fontId="14" fillId="36" borderId="10" xfId="0" applyFont="1" applyFill="1" applyBorder="1" applyAlignment="1">
      <alignment horizontal="left" indent="1"/>
    </xf>
    <xf numFmtId="192" fontId="14" fillId="36" borderId="10" xfId="0" applyNumberFormat="1" applyFont="1" applyFill="1" applyBorder="1" applyAlignment="1">
      <alignment horizontal="center"/>
    </xf>
    <xf numFmtId="0" fontId="15" fillId="36" borderId="10" xfId="0" applyFont="1" applyFill="1" applyBorder="1" applyAlignment="1">
      <alignment/>
    </xf>
    <xf numFmtId="192" fontId="15" fillId="36" borderId="10" xfId="0" applyNumberFormat="1" applyFont="1" applyFill="1" applyBorder="1" applyAlignment="1">
      <alignment/>
    </xf>
    <xf numFmtId="192" fontId="15" fillId="36" borderId="10" xfId="0" applyNumberFormat="1" applyFont="1" applyFill="1" applyBorder="1" applyAlignment="1">
      <alignment horizontal="right"/>
    </xf>
    <xf numFmtId="192" fontId="17" fillId="36" borderId="10" xfId="0" applyNumberFormat="1" applyFont="1" applyFill="1" applyBorder="1" applyAlignment="1">
      <alignment horizontal="right"/>
    </xf>
    <xf numFmtId="2" fontId="14" fillId="36" borderId="10" xfId="0" applyNumberFormat="1" applyFont="1" applyFill="1" applyBorder="1" applyAlignment="1">
      <alignment/>
    </xf>
    <xf numFmtId="0" fontId="14" fillId="36" borderId="10" xfId="0" applyFont="1" applyFill="1" applyBorder="1" applyAlignment="1">
      <alignment horizontal="center" vertical="top"/>
    </xf>
    <xf numFmtId="0" fontId="14" fillId="36" borderId="10" xfId="0" applyFont="1" applyFill="1" applyBorder="1" applyAlignment="1">
      <alignment wrapText="1"/>
    </xf>
    <xf numFmtId="0" fontId="15" fillId="36" borderId="10" xfId="0" applyFont="1" applyFill="1" applyBorder="1" applyAlignment="1">
      <alignment horizontal="center" wrapText="1"/>
    </xf>
    <xf numFmtId="0" fontId="15" fillId="36" borderId="10" xfId="0" applyFont="1" applyFill="1" applyBorder="1" applyAlignment="1">
      <alignment horizontal="center"/>
    </xf>
    <xf numFmtId="0" fontId="15" fillId="36" borderId="10" xfId="0" applyFont="1" applyFill="1" applyBorder="1" applyAlignment="1">
      <alignment wrapText="1"/>
    </xf>
    <xf numFmtId="0" fontId="14" fillId="36" borderId="10" xfId="0" applyFont="1" applyFill="1" applyBorder="1" applyAlignment="1">
      <alignment horizontal="left" vertical="top" wrapText="1" indent="1"/>
    </xf>
    <xf numFmtId="192" fontId="14" fillId="36" borderId="10" xfId="0" applyNumberFormat="1" applyFont="1" applyFill="1" applyBorder="1" applyAlignment="1">
      <alignment vertical="top"/>
    </xf>
    <xf numFmtId="192" fontId="14" fillId="36" borderId="10" xfId="0" applyNumberFormat="1" applyFont="1" applyFill="1" applyBorder="1" applyAlignment="1">
      <alignment horizontal="right" vertical="top"/>
    </xf>
    <xf numFmtId="0" fontId="14" fillId="36" borderId="10" xfId="0" applyFont="1" applyFill="1" applyBorder="1" applyAlignment="1">
      <alignment vertical="top"/>
    </xf>
    <xf numFmtId="0" fontId="16" fillId="36" borderId="10" xfId="0" applyFont="1" applyFill="1" applyBorder="1" applyAlignment="1">
      <alignment vertical="top"/>
    </xf>
    <xf numFmtId="0" fontId="14" fillId="36" borderId="0" xfId="0" applyFont="1" applyFill="1" applyAlignment="1">
      <alignment vertical="top"/>
    </xf>
    <xf numFmtId="0" fontId="17" fillId="36" borderId="10" xfId="0" applyFont="1" applyFill="1" applyBorder="1" applyAlignment="1">
      <alignment vertical="top"/>
    </xf>
    <xf numFmtId="0" fontId="15" fillId="36" borderId="10" xfId="0" applyFont="1" applyFill="1" applyBorder="1" applyAlignment="1">
      <alignment horizontal="left" vertical="top" wrapText="1" indent="1"/>
    </xf>
    <xf numFmtId="0" fontId="14" fillId="36" borderId="10" xfId="0" applyFont="1" applyFill="1" applyBorder="1" applyAlignment="1">
      <alignment horizontal="left" wrapText="1" indent="1"/>
    </xf>
    <xf numFmtId="0" fontId="14" fillId="36" borderId="10" xfId="0" applyFont="1" applyFill="1" applyBorder="1" applyAlignment="1">
      <alignment horizontal="center" wrapText="1"/>
    </xf>
    <xf numFmtId="0" fontId="15" fillId="36" borderId="10" xfId="0" applyFont="1" applyFill="1" applyBorder="1" applyAlignment="1">
      <alignment horizontal="center" vertical="center"/>
    </xf>
    <xf numFmtId="0" fontId="15" fillId="36" borderId="10" xfId="0" applyFont="1" applyFill="1" applyBorder="1" applyAlignment="1">
      <alignment horizontal="center" vertical="top" wrapText="1"/>
    </xf>
    <xf numFmtId="192" fontId="15" fillId="36" borderId="10" xfId="0" applyNumberFormat="1" applyFont="1" applyFill="1" applyBorder="1" applyAlignment="1">
      <alignment horizontal="right" vertical="center" wrapText="1"/>
    </xf>
    <xf numFmtId="192" fontId="15" fillId="36" borderId="10" xfId="0" applyNumberFormat="1" applyFont="1" applyFill="1" applyBorder="1" applyAlignment="1">
      <alignment horizontal="right" vertical="center"/>
    </xf>
    <xf numFmtId="0" fontId="14" fillId="36" borderId="10" xfId="0" applyFont="1" applyFill="1" applyBorder="1" applyAlignment="1">
      <alignment horizontal="left" vertical="center"/>
    </xf>
    <xf numFmtId="2" fontId="14" fillId="36" borderId="10" xfId="0" applyNumberFormat="1" applyFont="1" applyFill="1" applyBorder="1" applyAlignment="1">
      <alignment horizontal="right" vertical="top" wrapText="1"/>
    </xf>
    <xf numFmtId="192" fontId="14" fillId="36" borderId="10" xfId="0" applyNumberFormat="1" applyFont="1" applyFill="1" applyBorder="1" applyAlignment="1">
      <alignment horizontal="right" vertical="top" wrapText="1"/>
    </xf>
    <xf numFmtId="2" fontId="15" fillId="36" borderId="10" xfId="0" applyNumberFormat="1" applyFont="1" applyFill="1" applyBorder="1" applyAlignment="1">
      <alignment horizontal="right" vertical="center" wrapText="1"/>
    </xf>
    <xf numFmtId="2" fontId="16" fillId="36" borderId="10" xfId="0" applyNumberFormat="1" applyFont="1" applyFill="1" applyBorder="1" applyAlignment="1">
      <alignment/>
    </xf>
    <xf numFmtId="192" fontId="14" fillId="36" borderId="0" xfId="0" applyNumberFormat="1" applyFont="1" applyFill="1" applyAlignment="1">
      <alignment/>
    </xf>
    <xf numFmtId="0" fontId="64" fillId="0" borderId="0" xfId="0" applyFont="1" applyAlignment="1">
      <alignment/>
    </xf>
    <xf numFmtId="0" fontId="64" fillId="0" borderId="10" xfId="0" applyFont="1" applyBorder="1" applyAlignment="1">
      <alignment/>
    </xf>
    <xf numFmtId="2" fontId="64" fillId="0" borderId="10" xfId="0" applyNumberFormat="1" applyFont="1" applyBorder="1" applyAlignment="1">
      <alignment/>
    </xf>
    <xf numFmtId="0" fontId="0" fillId="33" borderId="0" xfId="0" applyFill="1" applyAlignment="1">
      <alignment/>
    </xf>
    <xf numFmtId="2" fontId="64" fillId="33" borderId="10" xfId="0" applyNumberFormat="1" applyFont="1" applyFill="1" applyBorder="1" applyAlignment="1">
      <alignment/>
    </xf>
    <xf numFmtId="0" fontId="0" fillId="35" borderId="0" xfId="0" applyFill="1" applyAlignment="1">
      <alignment/>
    </xf>
    <xf numFmtId="2" fontId="0" fillId="35" borderId="10" xfId="0" applyNumberFormat="1" applyFont="1" applyFill="1" applyBorder="1" applyAlignment="1">
      <alignment/>
    </xf>
    <xf numFmtId="2" fontId="1" fillId="35" borderId="0" xfId="0" applyNumberFormat="1" applyFont="1" applyFill="1" applyAlignment="1">
      <alignment/>
    </xf>
    <xf numFmtId="2" fontId="1" fillId="35" borderId="10" xfId="0" applyNumberFormat="1" applyFont="1" applyFill="1" applyBorder="1" applyAlignment="1">
      <alignment/>
    </xf>
    <xf numFmtId="0" fontId="0" fillId="35" borderId="10" xfId="0" applyFill="1" applyBorder="1" applyAlignment="1">
      <alignment/>
    </xf>
    <xf numFmtId="2" fontId="0" fillId="35" borderId="10" xfId="0" applyNumberFormat="1" applyFont="1" applyFill="1" applyBorder="1" applyAlignment="1">
      <alignment horizontal="left" indent="1"/>
    </xf>
    <xf numFmtId="2" fontId="5" fillId="35" borderId="15" xfId="0" applyNumberFormat="1" applyFont="1" applyFill="1" applyBorder="1" applyAlignment="1">
      <alignment/>
    </xf>
    <xf numFmtId="2" fontId="1" fillId="35" borderId="15" xfId="0" applyNumberFormat="1" applyFont="1" applyFill="1" applyBorder="1" applyAlignment="1">
      <alignment/>
    </xf>
    <xf numFmtId="0" fontId="67" fillId="35" borderId="0" xfId="0" applyFont="1" applyFill="1" applyAlignment="1">
      <alignment/>
    </xf>
    <xf numFmtId="2" fontId="0" fillId="35" borderId="0" xfId="0" applyNumberFormat="1" applyFill="1" applyAlignment="1">
      <alignment/>
    </xf>
    <xf numFmtId="2" fontId="0" fillId="0" borderId="0" xfId="63" applyNumberFormat="1" applyFont="1">
      <alignment vertical="center"/>
      <protection/>
    </xf>
    <xf numFmtId="171" fontId="0" fillId="0" borderId="0" xfId="0" applyNumberFormat="1" applyAlignment="1">
      <alignment/>
    </xf>
    <xf numFmtId="2" fontId="0" fillId="0" borderId="0" xfId="0" applyNumberFormat="1" applyFont="1" applyFill="1" applyAlignment="1">
      <alignment/>
    </xf>
    <xf numFmtId="2" fontId="0" fillId="0" borderId="0" xfId="0" applyNumberFormat="1" applyFill="1" applyAlignment="1">
      <alignment/>
    </xf>
    <xf numFmtId="2" fontId="1" fillId="0" borderId="0" xfId="0" applyNumberFormat="1" applyFont="1" applyFill="1" applyAlignment="1">
      <alignment/>
    </xf>
    <xf numFmtId="0" fontId="0" fillId="0" borderId="0" xfId="60" applyFont="1" applyBorder="1" applyAlignment="1">
      <alignment vertical="center"/>
      <protection/>
    </xf>
    <xf numFmtId="0" fontId="6" fillId="0" borderId="0" xfId="0" applyFont="1" applyBorder="1" applyAlignment="1">
      <alignment vertical="center"/>
    </xf>
    <xf numFmtId="2" fontId="66" fillId="0" borderId="0" xfId="0" applyNumberFormat="1" applyFont="1" applyBorder="1" applyAlignment="1">
      <alignment vertical="center"/>
    </xf>
    <xf numFmtId="2" fontId="1" fillId="0" borderId="0" xfId="0" applyNumberFormat="1" applyFont="1" applyBorder="1" applyAlignment="1">
      <alignment vertical="center"/>
    </xf>
    <xf numFmtId="2" fontId="5" fillId="0" borderId="0" xfId="0" applyNumberFormat="1" applyFont="1" applyBorder="1" applyAlignment="1">
      <alignment vertical="center"/>
    </xf>
    <xf numFmtId="10" fontId="0" fillId="0" borderId="10" xfId="67" applyNumberFormat="1" applyFont="1" applyBorder="1" applyAlignment="1">
      <alignment/>
    </xf>
    <xf numFmtId="2" fontId="68" fillId="37" borderId="10" xfId="63" applyNumberFormat="1" applyFont="1" applyFill="1" applyBorder="1" applyAlignment="1">
      <alignment horizontal="center" vertical="center"/>
      <protection/>
    </xf>
    <xf numFmtId="0" fontId="69" fillId="37" borderId="10" xfId="0" applyFont="1" applyFill="1" applyBorder="1" applyAlignment="1">
      <alignment vertical="center" wrapText="1"/>
    </xf>
    <xf numFmtId="0" fontId="69" fillId="37" borderId="10" xfId="0" applyFont="1" applyFill="1" applyBorder="1" applyAlignment="1">
      <alignment horizontal="center" vertical="center"/>
    </xf>
    <xf numFmtId="0" fontId="68" fillId="37" borderId="10" xfId="0" applyFont="1" applyFill="1" applyBorder="1" applyAlignment="1">
      <alignment vertical="center" wrapText="1"/>
    </xf>
    <xf numFmtId="0" fontId="68" fillId="37" borderId="10" xfId="0" applyFont="1" applyFill="1" applyBorder="1" applyAlignment="1">
      <alignment horizontal="center" vertical="center"/>
    </xf>
    <xf numFmtId="0" fontId="0" fillId="0" borderId="10" xfId="63" applyFont="1" applyBorder="1">
      <alignment vertical="center"/>
      <protection/>
    </xf>
    <xf numFmtId="2" fontId="0" fillId="0" borderId="10" xfId="63" applyNumberFormat="1" applyFont="1" applyFill="1" applyBorder="1">
      <alignment vertical="center"/>
      <protection/>
    </xf>
    <xf numFmtId="0" fontId="68" fillId="37" borderId="10" xfId="63" applyFont="1" applyFill="1" applyBorder="1" applyAlignment="1">
      <alignment horizontal="center" vertical="center"/>
      <protection/>
    </xf>
    <xf numFmtId="0" fontId="69" fillId="37" borderId="10" xfId="0" applyFont="1" applyFill="1" applyBorder="1" applyAlignment="1">
      <alignment horizontal="center" vertical="center" wrapText="1"/>
    </xf>
    <xf numFmtId="0" fontId="69" fillId="37" borderId="10" xfId="0" applyFont="1" applyFill="1" applyBorder="1" applyAlignment="1">
      <alignment vertical="center"/>
    </xf>
    <xf numFmtId="0" fontId="68" fillId="37" borderId="10" xfId="0" applyFont="1" applyFill="1" applyBorder="1" applyAlignment="1">
      <alignment horizontal="center" vertical="center" wrapText="1"/>
    </xf>
    <xf numFmtId="0" fontId="68" fillId="37" borderId="10" xfId="0" applyFont="1" applyFill="1" applyBorder="1" applyAlignment="1">
      <alignment vertical="center"/>
    </xf>
    <xf numFmtId="2" fontId="68" fillId="37" borderId="10" xfId="0" applyNumberFormat="1" applyFont="1" applyFill="1" applyBorder="1" applyAlignment="1">
      <alignment/>
    </xf>
    <xf numFmtId="171" fontId="68" fillId="37" borderId="10" xfId="43" applyFont="1" applyFill="1" applyBorder="1" applyAlignment="1">
      <alignment horizontal="center" vertical="center"/>
    </xf>
    <xf numFmtId="2" fontId="68" fillId="37" borderId="10" xfId="43" applyNumberFormat="1" applyFont="1" applyFill="1" applyBorder="1" applyAlignment="1">
      <alignment horizontal="right" vertical="center"/>
    </xf>
    <xf numFmtId="2" fontId="68" fillId="37" borderId="10" xfId="43" applyNumberFormat="1" applyFont="1" applyFill="1" applyBorder="1" applyAlignment="1">
      <alignment horizontal="center" vertical="center"/>
    </xf>
    <xf numFmtId="10" fontId="70" fillId="37" borderId="10" xfId="0" applyNumberFormat="1" applyFont="1" applyFill="1" applyBorder="1" applyAlignment="1">
      <alignment horizontal="center" vertical="center" wrapText="1"/>
    </xf>
    <xf numFmtId="2" fontId="70" fillId="37" borderId="10" xfId="0" applyNumberFormat="1" applyFont="1" applyFill="1" applyBorder="1" applyAlignment="1">
      <alignment horizontal="center" vertical="center" wrapText="1"/>
    </xf>
    <xf numFmtId="2" fontId="1" fillId="34" borderId="0" xfId="0" applyNumberFormat="1" applyFont="1" applyFill="1" applyAlignment="1">
      <alignment/>
    </xf>
    <xf numFmtId="2" fontId="68" fillId="37" borderId="10" xfId="0" applyNumberFormat="1" applyFont="1" applyFill="1" applyBorder="1" applyAlignment="1">
      <alignment vertical="center"/>
    </xf>
    <xf numFmtId="2" fontId="1" fillId="0" borderId="10" xfId="63" applyNumberFormat="1" applyFont="1" applyFill="1" applyBorder="1" applyAlignment="1">
      <alignment horizontal="center" vertical="center"/>
      <protection/>
    </xf>
    <xf numFmtId="2" fontId="68" fillId="37" borderId="10" xfId="0" applyNumberFormat="1" applyFont="1" applyFill="1" applyBorder="1" applyAlignment="1" applyProtection="1">
      <alignment horizontal="center" vertical="center" wrapText="1"/>
      <protection/>
    </xf>
    <xf numFmtId="2" fontId="71" fillId="37" borderId="10" xfId="0" applyNumberFormat="1" applyFont="1" applyFill="1" applyBorder="1" applyAlignment="1" applyProtection="1">
      <alignment horizontal="center" vertical="center" wrapText="1"/>
      <protection/>
    </xf>
    <xf numFmtId="10" fontId="71" fillId="37" borderId="10" xfId="0" applyNumberFormat="1" applyFont="1" applyFill="1" applyBorder="1" applyAlignment="1" applyProtection="1">
      <alignment horizontal="center" vertical="center" wrapText="1"/>
      <protection/>
    </xf>
    <xf numFmtId="2" fontId="71" fillId="37" borderId="10" xfId="0" applyNumberFormat="1" applyFont="1" applyFill="1" applyBorder="1" applyAlignment="1">
      <alignment horizontal="center" vertical="center" wrapText="1"/>
    </xf>
    <xf numFmtId="2" fontId="71" fillId="37" borderId="10" xfId="0" applyNumberFormat="1" applyFont="1" applyFill="1" applyBorder="1" applyAlignment="1">
      <alignment horizontal="center" wrapText="1"/>
    </xf>
    <xf numFmtId="0" fontId="71" fillId="37" borderId="10" xfId="0" applyFont="1" applyFill="1" applyBorder="1" applyAlignment="1">
      <alignment horizontal="center" vertical="center" wrapText="1"/>
    </xf>
    <xf numFmtId="2" fontId="68" fillId="37" borderId="10" xfId="0" applyNumberFormat="1" applyFont="1" applyFill="1" applyBorder="1" applyAlignment="1">
      <alignment horizontal="center" vertical="center" wrapText="1"/>
    </xf>
    <xf numFmtId="2" fontId="68" fillId="37" borderId="10" xfId="63" applyNumberFormat="1" applyFont="1" applyFill="1" applyBorder="1" applyAlignment="1">
      <alignment horizontal="center" vertical="center" wrapText="1"/>
      <protection/>
    </xf>
    <xf numFmtId="2" fontId="68" fillId="37" borderId="10" xfId="0" applyNumberFormat="1" applyFont="1" applyFill="1" applyBorder="1" applyAlignment="1">
      <alignment horizontal="center" vertical="center"/>
    </xf>
    <xf numFmtId="2" fontId="68" fillId="37" borderId="12" xfId="63" applyNumberFormat="1" applyFont="1" applyFill="1" applyBorder="1" applyAlignment="1">
      <alignment horizontal="center" vertical="center"/>
      <protection/>
    </xf>
    <xf numFmtId="2" fontId="68" fillId="37" borderId="12" xfId="63" applyNumberFormat="1" applyFont="1" applyFill="1" applyBorder="1" applyAlignment="1">
      <alignment horizontal="center" vertical="center" wrapText="1"/>
      <protection/>
    </xf>
    <xf numFmtId="2" fontId="68" fillId="37" borderId="10" xfId="0" applyNumberFormat="1" applyFont="1" applyFill="1" applyBorder="1" applyAlignment="1">
      <alignment horizontal="right" vertical="center"/>
    </xf>
    <xf numFmtId="2" fontId="68" fillId="37" borderId="10" xfId="0" applyNumberFormat="1" applyFont="1" applyFill="1" applyBorder="1" applyAlignment="1">
      <alignment horizontal="center"/>
    </xf>
    <xf numFmtId="0" fontId="69" fillId="37" borderId="10" xfId="0" applyFont="1" applyFill="1" applyBorder="1" applyAlignment="1">
      <alignment/>
    </xf>
    <xf numFmtId="2" fontId="0" fillId="0" borderId="10" xfId="0" applyNumberFormat="1" applyFont="1" applyFill="1" applyBorder="1" applyAlignment="1">
      <alignment horizontal="center" wrapText="1"/>
    </xf>
    <xf numFmtId="0" fontId="68" fillId="37" borderId="10" xfId="0" applyFont="1" applyFill="1" applyBorder="1" applyAlignment="1">
      <alignment horizontal="center"/>
    </xf>
    <xf numFmtId="0" fontId="0" fillId="0" borderId="10" xfId="0" applyFont="1" applyFill="1" applyBorder="1" applyAlignment="1">
      <alignment/>
    </xf>
    <xf numFmtId="194" fontId="1" fillId="0" borderId="10" xfId="43" applyNumberFormat="1" applyFont="1" applyFill="1" applyBorder="1" applyAlignment="1">
      <alignment/>
    </xf>
    <xf numFmtId="2" fontId="0" fillId="0" borderId="10" xfId="0" applyNumberFormat="1" applyFont="1" applyBorder="1" applyAlignment="1">
      <alignment vertical="center"/>
    </xf>
    <xf numFmtId="2" fontId="0" fillId="0" borderId="10" xfId="0" applyNumberFormat="1" applyFont="1" applyFill="1" applyBorder="1" applyAlignment="1">
      <alignment vertical="center"/>
    </xf>
    <xf numFmtId="2" fontId="1" fillId="0" borderId="10" xfId="0" applyNumberFormat="1" applyFont="1" applyFill="1" applyBorder="1" applyAlignment="1">
      <alignment horizontal="right"/>
    </xf>
    <xf numFmtId="2" fontId="5" fillId="0" borderId="15" xfId="0" applyNumberFormat="1" applyFont="1" applyFill="1" applyBorder="1" applyAlignment="1">
      <alignment/>
    </xf>
    <xf numFmtId="2" fontId="0" fillId="0" borderId="16" xfId="0" applyNumberFormat="1" applyFont="1" applyFill="1" applyBorder="1" applyAlignment="1">
      <alignment/>
    </xf>
    <xf numFmtId="0" fontId="0" fillId="0" borderId="11" xfId="0" applyFont="1" applyFill="1" applyBorder="1" applyAlignment="1">
      <alignment/>
    </xf>
    <xf numFmtId="2" fontId="5" fillId="0" borderId="10" xfId="0" applyNumberFormat="1" applyFont="1" applyFill="1" applyBorder="1" applyAlignment="1">
      <alignment/>
    </xf>
    <xf numFmtId="2" fontId="0" fillId="0" borderId="10" xfId="0" applyNumberFormat="1" applyFill="1" applyBorder="1" applyAlignment="1">
      <alignment/>
    </xf>
    <xf numFmtId="0" fontId="46" fillId="0" borderId="10" xfId="57" applyFont="1" applyFill="1" applyBorder="1" applyAlignment="1">
      <alignment/>
    </xf>
    <xf numFmtId="2" fontId="46" fillId="0" borderId="10" xfId="57" applyNumberFormat="1" applyFont="1" applyFill="1" applyBorder="1" applyAlignment="1">
      <alignment/>
    </xf>
    <xf numFmtId="0" fontId="1" fillId="34" borderId="0" xfId="0" applyFont="1" applyFill="1" applyBorder="1" applyAlignment="1">
      <alignment horizontal="left"/>
    </xf>
    <xf numFmtId="1" fontId="0" fillId="0" borderId="10" xfId="0" applyNumberFormat="1" applyFont="1" applyFill="1" applyBorder="1" applyAlignment="1">
      <alignment/>
    </xf>
    <xf numFmtId="2" fontId="0" fillId="0" borderId="10" xfId="0" applyNumberFormat="1" applyFont="1" applyFill="1" applyBorder="1" applyAlignment="1">
      <alignment horizontal="left"/>
    </xf>
    <xf numFmtId="2" fontId="1" fillId="0" borderId="10" xfId="0" applyNumberFormat="1" applyFont="1" applyFill="1" applyBorder="1" applyAlignment="1">
      <alignment vertical="center"/>
    </xf>
    <xf numFmtId="2" fontId="5" fillId="0" borderId="10" xfId="0" applyNumberFormat="1" applyFont="1" applyFill="1" applyBorder="1" applyAlignment="1">
      <alignment vertical="center"/>
    </xf>
    <xf numFmtId="0" fontId="3" fillId="0" borderId="10" xfId="0" applyFont="1" applyFill="1" applyBorder="1" applyAlignment="1">
      <alignment vertical="center"/>
    </xf>
    <xf numFmtId="10" fontId="5" fillId="0" borderId="10" xfId="0" applyNumberFormat="1" applyFont="1" applyFill="1" applyBorder="1" applyAlignment="1">
      <alignment vertical="center"/>
    </xf>
    <xf numFmtId="0" fontId="10" fillId="0" borderId="10" xfId="0" applyFont="1" applyFill="1" applyBorder="1" applyAlignment="1">
      <alignment vertical="center"/>
    </xf>
    <xf numFmtId="1" fontId="0" fillId="0" borderId="10" xfId="0" applyNumberFormat="1" applyFont="1" applyFill="1" applyBorder="1" applyAlignment="1">
      <alignment vertical="center"/>
    </xf>
    <xf numFmtId="0" fontId="0" fillId="0" borderId="10" xfId="0" applyFont="1" applyFill="1" applyBorder="1" applyAlignment="1">
      <alignment vertical="center"/>
    </xf>
    <xf numFmtId="0" fontId="1" fillId="0" borderId="13" xfId="0" applyFont="1" applyFill="1" applyBorder="1" applyAlignment="1">
      <alignment vertical="center"/>
    </xf>
    <xf numFmtId="2" fontId="1" fillId="0" borderId="13" xfId="0" applyNumberFormat="1" applyFont="1" applyFill="1" applyBorder="1" applyAlignment="1">
      <alignment vertical="center"/>
    </xf>
    <xf numFmtId="2" fontId="0" fillId="0" borderId="10" xfId="63" applyNumberFormat="1" applyFont="1" applyFill="1" applyBorder="1" applyAlignment="1" applyProtection="1">
      <alignment horizontal="right" vertical="center"/>
      <protection locked="0"/>
    </xf>
    <xf numFmtId="9" fontId="0" fillId="0" borderId="10" xfId="0" applyNumberFormat="1" applyFont="1" applyFill="1" applyBorder="1" applyAlignment="1">
      <alignment vertical="center"/>
    </xf>
    <xf numFmtId="10" fontId="0" fillId="0" borderId="10" xfId="0" applyNumberFormat="1" applyFont="1" applyFill="1" applyBorder="1" applyAlignment="1">
      <alignment vertical="center"/>
    </xf>
    <xf numFmtId="1" fontId="0" fillId="0" borderId="10" xfId="63" applyNumberFormat="1" applyFont="1" applyFill="1" applyBorder="1" applyAlignment="1" applyProtection="1">
      <alignment horizontal="right" vertical="center"/>
      <protection locked="0"/>
    </xf>
    <xf numFmtId="0" fontId="0" fillId="0" borderId="10" xfId="0" applyFont="1" applyBorder="1" applyAlignment="1">
      <alignment/>
    </xf>
    <xf numFmtId="192" fontId="1" fillId="0" borderId="10" xfId="0" applyNumberFormat="1" applyFont="1" applyFill="1" applyBorder="1" applyAlignment="1">
      <alignment/>
    </xf>
    <xf numFmtId="2" fontId="1" fillId="0" borderId="10" xfId="63" applyNumberFormat="1" applyFont="1" applyFill="1" applyBorder="1" applyAlignment="1">
      <alignment vertical="center"/>
      <protection/>
    </xf>
    <xf numFmtId="2" fontId="1" fillId="34" borderId="0" xfId="0" applyNumberFormat="1" applyFont="1" applyFill="1" applyAlignment="1">
      <alignment wrapText="1"/>
    </xf>
    <xf numFmtId="1" fontId="0" fillId="0" borderId="10" xfId="0" applyNumberFormat="1" applyFont="1" applyBorder="1" applyAlignment="1">
      <alignment vertical="center"/>
    </xf>
    <xf numFmtId="194" fontId="1" fillId="35" borderId="10" xfId="43" applyNumberFormat="1" applyFont="1" applyFill="1" applyBorder="1" applyAlignment="1">
      <alignment/>
    </xf>
    <xf numFmtId="0" fontId="0" fillId="0" borderId="15" xfId="0" applyFill="1" applyBorder="1" applyAlignment="1">
      <alignment/>
    </xf>
    <xf numFmtId="0" fontId="0" fillId="0" borderId="12" xfId="0" applyFill="1" applyBorder="1" applyAlignment="1">
      <alignment/>
    </xf>
    <xf numFmtId="0" fontId="0" fillId="0" borderId="16" xfId="0" applyBorder="1" applyAlignment="1">
      <alignment/>
    </xf>
    <xf numFmtId="0" fontId="0" fillId="0" borderId="11" xfId="0" applyBorder="1" applyAlignment="1">
      <alignment/>
    </xf>
    <xf numFmtId="0" fontId="19" fillId="35" borderId="0" xfId="60" applyFont="1" applyFill="1" applyBorder="1">
      <alignment/>
      <protection/>
    </xf>
    <xf numFmtId="0" fontId="20" fillId="0" borderId="0" xfId="60" applyFont="1">
      <alignment/>
      <protection/>
    </xf>
    <xf numFmtId="2" fontId="1" fillId="0" borderId="0" xfId="60" applyNumberFormat="1" applyFont="1" applyAlignment="1">
      <alignment horizontal="center" vertical="center"/>
      <protection/>
    </xf>
    <xf numFmtId="0" fontId="0" fillId="0" borderId="0" xfId="60">
      <alignment/>
      <protection/>
    </xf>
    <xf numFmtId="2" fontId="21" fillId="0" borderId="0" xfId="60" applyNumberFormat="1" applyFont="1" applyAlignment="1">
      <alignment horizontal="left"/>
      <protection/>
    </xf>
    <xf numFmtId="0" fontId="21" fillId="0" borderId="0" xfId="60" applyFont="1">
      <alignment/>
      <protection/>
    </xf>
    <xf numFmtId="2" fontId="0" fillId="0" borderId="0" xfId="60" applyNumberFormat="1" applyAlignment="1">
      <alignment horizontal="center" vertical="center"/>
      <protection/>
    </xf>
    <xf numFmtId="0" fontId="21" fillId="35" borderId="0" xfId="60" applyFont="1" applyFill="1" applyBorder="1">
      <alignment/>
      <protection/>
    </xf>
    <xf numFmtId="0" fontId="20" fillId="0" borderId="0" xfId="60" applyFont="1" applyBorder="1" applyAlignment="1">
      <alignment horizontal="left" vertical="center"/>
      <protection/>
    </xf>
    <xf numFmtId="2" fontId="21" fillId="0" borderId="0" xfId="60" applyNumberFormat="1" applyFont="1" applyAlignment="1">
      <alignment horizontal="center" vertical="center" wrapText="1"/>
      <protection/>
    </xf>
    <xf numFmtId="2" fontId="20" fillId="0" borderId="0" xfId="60" applyNumberFormat="1" applyFont="1" applyAlignment="1">
      <alignment horizontal="right"/>
      <protection/>
    </xf>
    <xf numFmtId="0" fontId="21" fillId="35" borderId="10" xfId="60" applyFont="1" applyFill="1" applyBorder="1">
      <alignment/>
      <protection/>
    </xf>
    <xf numFmtId="0" fontId="20" fillId="32" borderId="12" xfId="60" applyFont="1" applyFill="1" applyBorder="1" applyAlignment="1" applyProtection="1">
      <alignment horizontal="center" vertical="center" wrapText="1"/>
      <protection/>
    </xf>
    <xf numFmtId="2" fontId="20" fillId="32" borderId="10" xfId="60" applyNumberFormat="1" applyFont="1" applyFill="1" applyBorder="1" applyAlignment="1" applyProtection="1">
      <alignment horizontal="center" vertical="center" wrapText="1"/>
      <protection/>
    </xf>
    <xf numFmtId="0" fontId="20" fillId="32" borderId="10" xfId="60" applyFont="1" applyFill="1" applyBorder="1" applyAlignment="1" applyProtection="1">
      <alignment horizontal="center" vertical="center" wrapText="1"/>
      <protection/>
    </xf>
    <xf numFmtId="0" fontId="20" fillId="32" borderId="10" xfId="60" applyFont="1" applyFill="1" applyBorder="1" applyAlignment="1">
      <alignment horizontal="center" vertical="center" wrapText="1"/>
      <protection/>
    </xf>
    <xf numFmtId="0" fontId="21" fillId="35" borderId="10" xfId="60" applyFont="1" applyFill="1" applyBorder="1" applyAlignment="1">
      <alignment vertical="center"/>
      <protection/>
    </xf>
    <xf numFmtId="0" fontId="21" fillId="0" borderId="10" xfId="0" applyFont="1" applyFill="1" applyBorder="1" applyAlignment="1">
      <alignment horizontal="left" vertical="center" wrapText="1"/>
    </xf>
    <xf numFmtId="2" fontId="21" fillId="0" borderId="10" xfId="0" applyNumberFormat="1" applyFont="1" applyFill="1" applyBorder="1" applyAlignment="1">
      <alignment horizontal="center" vertical="center" wrapText="1"/>
    </xf>
    <xf numFmtId="2" fontId="21" fillId="0" borderId="10" xfId="0" applyNumberFormat="1" applyFont="1" applyFill="1" applyBorder="1" applyAlignment="1">
      <alignment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vertical="center"/>
    </xf>
    <xf numFmtId="0" fontId="0" fillId="0" borderId="0" xfId="60" applyAlignment="1">
      <alignment vertical="center"/>
      <protection/>
    </xf>
    <xf numFmtId="0" fontId="21" fillId="0" borderId="10" xfId="0" applyFont="1" applyFill="1" applyBorder="1" applyAlignment="1">
      <alignment horizontal="center" vertical="center" wrapText="1"/>
    </xf>
    <xf numFmtId="171" fontId="21" fillId="0" borderId="10" xfId="0" applyNumberFormat="1" applyFont="1" applyFill="1" applyBorder="1" applyAlignment="1">
      <alignment horizontal="center" vertical="center" wrapText="1"/>
    </xf>
    <xf numFmtId="2" fontId="21" fillId="0" borderId="10" xfId="0" applyNumberFormat="1" applyFont="1" applyFill="1" applyBorder="1" applyAlignment="1" quotePrefix="1">
      <alignment horizontal="center" vertical="center"/>
    </xf>
    <xf numFmtId="10" fontId="21" fillId="0" borderId="10" xfId="0" applyNumberFormat="1" applyFont="1" applyFill="1" applyBorder="1" applyAlignment="1">
      <alignment horizontal="center" vertical="center" wrapText="1"/>
    </xf>
    <xf numFmtId="2" fontId="21" fillId="0" borderId="10" xfId="0" applyNumberFormat="1" applyFont="1" applyFill="1" applyBorder="1" applyAlignment="1">
      <alignment horizontal="left" vertical="center" wrapText="1"/>
    </xf>
    <xf numFmtId="2" fontId="21" fillId="0" borderId="10" xfId="0" applyNumberFormat="1" applyFont="1" applyFill="1" applyBorder="1" applyAlignment="1">
      <alignment horizontal="center" vertical="center"/>
    </xf>
    <xf numFmtId="199" fontId="21" fillId="0" borderId="10" xfId="0" applyNumberFormat="1" applyFont="1" applyFill="1" applyBorder="1" applyAlignment="1">
      <alignment horizontal="center" vertical="center" wrapText="1"/>
    </xf>
    <xf numFmtId="200" fontId="21" fillId="0" borderId="10" xfId="0" applyNumberFormat="1" applyFont="1" applyFill="1" applyBorder="1" applyAlignment="1">
      <alignment horizontal="center" vertical="center" wrapText="1"/>
    </xf>
    <xf numFmtId="1" fontId="21"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1" fillId="35" borderId="16" xfId="60" applyFont="1" applyFill="1" applyBorder="1" applyAlignment="1">
      <alignment vertical="center"/>
      <protection/>
    </xf>
    <xf numFmtId="0" fontId="20" fillId="32" borderId="12" xfId="60" applyFont="1" applyFill="1" applyBorder="1" applyAlignment="1">
      <alignment horizontal="center" vertical="center"/>
      <protection/>
    </xf>
    <xf numFmtId="2" fontId="20" fillId="32" borderId="10" xfId="60" applyNumberFormat="1" applyFont="1" applyFill="1" applyBorder="1" applyAlignment="1">
      <alignment horizontal="center" vertical="center"/>
      <protection/>
    </xf>
    <xf numFmtId="0" fontId="20" fillId="32" borderId="10" xfId="60" applyFont="1" applyFill="1" applyBorder="1" applyAlignment="1">
      <alignment vertical="center"/>
      <protection/>
    </xf>
    <xf numFmtId="0" fontId="21" fillId="35" borderId="0" xfId="60" applyFont="1" applyFill="1" applyBorder="1" applyAlignment="1">
      <alignment vertical="center"/>
      <protection/>
    </xf>
    <xf numFmtId="0" fontId="22" fillId="0" borderId="0" xfId="60" applyFont="1" applyAlignment="1">
      <alignment vertical="center"/>
      <protection/>
    </xf>
    <xf numFmtId="0" fontId="22" fillId="0" borderId="0" xfId="60" applyFont="1" applyAlignment="1">
      <alignment horizontal="center" vertical="center"/>
      <protection/>
    </xf>
    <xf numFmtId="0" fontId="21" fillId="0" borderId="0" xfId="60" applyFont="1" applyAlignment="1">
      <alignment vertical="center"/>
      <protection/>
    </xf>
    <xf numFmtId="0" fontId="20" fillId="0" borderId="0" xfId="60" applyFont="1" applyAlignment="1">
      <alignment vertical="center"/>
      <protection/>
    </xf>
    <xf numFmtId="2" fontId="20" fillId="0" borderId="0" xfId="60" applyNumberFormat="1" applyFont="1" applyAlignment="1">
      <alignment horizontal="right" vertical="center"/>
      <protection/>
    </xf>
    <xf numFmtId="0" fontId="19" fillId="0" borderId="0" xfId="60" applyFont="1" applyAlignment="1">
      <alignment vertical="center"/>
      <protection/>
    </xf>
    <xf numFmtId="0" fontId="20" fillId="0" borderId="10" xfId="0" applyFont="1" applyFill="1" applyBorder="1" applyAlignment="1" applyProtection="1">
      <alignment horizontal="center" vertical="center" wrapText="1"/>
      <protection/>
    </xf>
    <xf numFmtId="0" fontId="20" fillId="0" borderId="10" xfId="0" applyFont="1" applyFill="1" applyBorder="1" applyAlignment="1">
      <alignment horizontal="center" vertical="center" wrapText="1"/>
    </xf>
    <xf numFmtId="2" fontId="21" fillId="0" borderId="16" xfId="0" applyNumberFormat="1" applyFont="1" applyFill="1" applyBorder="1" applyAlignment="1">
      <alignment horizontal="left" vertical="center" wrapText="1"/>
    </xf>
    <xf numFmtId="2" fontId="21" fillId="0" borderId="16" xfId="0" applyNumberFormat="1" applyFont="1" applyFill="1" applyBorder="1" applyAlignment="1">
      <alignment vertical="center" wrapText="1"/>
    </xf>
    <xf numFmtId="0" fontId="21" fillId="0" borderId="15" xfId="0" applyFont="1" applyFill="1" applyBorder="1" applyAlignment="1">
      <alignment horizontal="left" vertical="center" wrapText="1"/>
    </xf>
    <xf numFmtId="0" fontId="21" fillId="0" borderId="15" xfId="0" applyFont="1" applyFill="1" applyBorder="1" applyAlignment="1">
      <alignment vertical="center" wrapText="1"/>
    </xf>
    <xf numFmtId="0" fontId="21" fillId="0" borderId="0" xfId="0" applyFont="1" applyFill="1" applyAlignment="1">
      <alignment vertical="center" wrapText="1"/>
    </xf>
    <xf numFmtId="0" fontId="23" fillId="0" borderId="0" xfId="60" applyFont="1" applyBorder="1" applyAlignment="1">
      <alignment horizontal="left" vertical="center"/>
      <protection/>
    </xf>
    <xf numFmtId="2" fontId="22" fillId="0" borderId="0" xfId="60" applyNumberFormat="1" applyFont="1" applyAlignment="1">
      <alignment horizontal="center" vertical="center" wrapText="1"/>
      <protection/>
    </xf>
    <xf numFmtId="0" fontId="23" fillId="0" borderId="0" xfId="60" applyFont="1" applyAlignment="1">
      <alignment vertical="center"/>
      <protection/>
    </xf>
    <xf numFmtId="2" fontId="23" fillId="0" borderId="0" xfId="60" applyNumberFormat="1" applyFont="1" applyAlignment="1">
      <alignment horizontal="right" vertical="center"/>
      <protection/>
    </xf>
    <xf numFmtId="0" fontId="24" fillId="0" borderId="0" xfId="60" applyFont="1" applyAlignment="1">
      <alignment vertical="center"/>
      <protection/>
    </xf>
    <xf numFmtId="0" fontId="21" fillId="0" borderId="10" xfId="0" applyFont="1" applyBorder="1" applyAlignment="1">
      <alignment vertical="center"/>
    </xf>
    <xf numFmtId="0" fontId="21" fillId="0" borderId="10" xfId="0" applyFont="1" applyBorder="1" applyAlignment="1">
      <alignment horizontal="left" vertical="center" wrapText="1"/>
    </xf>
    <xf numFmtId="2" fontId="21" fillId="0" borderId="10" xfId="0" applyNumberFormat="1" applyFont="1" applyBorder="1" applyAlignment="1">
      <alignment horizontal="center" vertical="center"/>
    </xf>
    <xf numFmtId="2" fontId="21" fillId="35" borderId="10" xfId="0" applyNumberFormat="1" applyFont="1" applyFill="1" applyBorder="1" applyAlignment="1">
      <alignment horizontal="center" vertical="center" wrapText="1"/>
    </xf>
    <xf numFmtId="199" fontId="21" fillId="35" borderId="10" xfId="0" applyNumberFormat="1" applyFont="1" applyFill="1" applyBorder="1" applyAlignment="1">
      <alignment vertical="center" wrapText="1"/>
    </xf>
    <xf numFmtId="2" fontId="21" fillId="35" borderId="10" xfId="0" applyNumberFormat="1" applyFont="1" applyFill="1" applyBorder="1" applyAlignment="1">
      <alignment vertical="center" wrapText="1"/>
    </xf>
    <xf numFmtId="199" fontId="21" fillId="35" borderId="10" xfId="0" applyNumberFormat="1" applyFont="1" applyFill="1" applyBorder="1" applyAlignment="1">
      <alignment horizontal="center" vertical="center" wrapText="1"/>
    </xf>
    <xf numFmtId="0" fontId="21" fillId="35" borderId="10" xfId="0" applyFont="1" applyFill="1" applyBorder="1" applyAlignment="1">
      <alignment horizontal="justify" vertical="center" wrapText="1"/>
    </xf>
    <xf numFmtId="0" fontId="21" fillId="0" borderId="10" xfId="0" applyFont="1" applyBorder="1" applyAlignment="1">
      <alignment horizontal="center" vertical="center" wrapText="1"/>
    </xf>
    <xf numFmtId="200" fontId="21" fillId="35" borderId="10" xfId="0" applyNumberFormat="1" applyFont="1" applyFill="1" applyBorder="1" applyAlignment="1">
      <alignment vertical="center" wrapText="1"/>
    </xf>
    <xf numFmtId="0" fontId="21" fillId="0" borderId="10" xfId="0" applyFont="1" applyBorder="1" applyAlignment="1">
      <alignment vertical="center" wrapText="1"/>
    </xf>
    <xf numFmtId="0" fontId="21" fillId="35" borderId="10" xfId="0" applyFont="1" applyFill="1" applyBorder="1" applyAlignment="1">
      <alignment vertical="center"/>
    </xf>
    <xf numFmtId="199" fontId="21" fillId="0" borderId="10" xfId="0" applyNumberFormat="1" applyFont="1" applyBorder="1" applyAlignment="1">
      <alignment horizontal="center" vertical="center" wrapText="1"/>
    </xf>
    <xf numFmtId="199" fontId="21" fillId="0" borderId="10" xfId="0" applyNumberFormat="1" applyFont="1" applyBorder="1" applyAlignment="1">
      <alignment vertical="center" wrapText="1"/>
    </xf>
    <xf numFmtId="0" fontId="21" fillId="35" borderId="10" xfId="0" applyFont="1" applyFill="1" applyBorder="1" applyAlignment="1">
      <alignment horizontal="left" vertical="center" wrapText="1"/>
    </xf>
    <xf numFmtId="1" fontId="21" fillId="35" borderId="10" xfId="0" applyNumberFormat="1" applyFont="1" applyFill="1" applyBorder="1" applyAlignment="1">
      <alignment horizontal="center" vertical="center" wrapText="1"/>
    </xf>
    <xf numFmtId="0" fontId="21" fillId="35" borderId="10" xfId="0" applyFont="1" applyFill="1" applyBorder="1" applyAlignment="1">
      <alignment vertical="center" wrapText="1"/>
    </xf>
    <xf numFmtId="2" fontId="21" fillId="0" borderId="10" xfId="0" applyNumberFormat="1" applyFont="1" applyBorder="1" applyAlignment="1">
      <alignment horizontal="center" vertical="center" wrapText="1"/>
    </xf>
    <xf numFmtId="0" fontId="72" fillId="0" borderId="10" xfId="0" applyFont="1" applyBorder="1" applyAlignment="1">
      <alignment horizontal="left" vertical="center" wrapText="1"/>
    </xf>
    <xf numFmtId="0" fontId="21" fillId="0" borderId="10" xfId="0" applyFont="1" applyBorder="1" applyAlignment="1">
      <alignment horizontal="center" vertical="center"/>
    </xf>
    <xf numFmtId="2" fontId="21" fillId="0" borderId="10" xfId="0" applyNumberFormat="1" applyFont="1" applyFill="1" applyBorder="1" applyAlignment="1">
      <alignment vertical="center"/>
    </xf>
    <xf numFmtId="0" fontId="21" fillId="0" borderId="10" xfId="0" applyFont="1" applyFill="1" applyBorder="1" applyAlignment="1">
      <alignment horizontal="justify" vertical="center" wrapText="1"/>
    </xf>
    <xf numFmtId="171" fontId="20" fillId="0" borderId="10" xfId="0" applyNumberFormat="1" applyFont="1" applyFill="1" applyBorder="1" applyAlignment="1">
      <alignment horizontal="center" vertical="center"/>
    </xf>
    <xf numFmtId="0" fontId="21" fillId="0" borderId="17" xfId="0" applyFont="1" applyFill="1" applyBorder="1" applyAlignment="1">
      <alignment horizontal="left" vertical="center" wrapText="1"/>
    </xf>
    <xf numFmtId="0" fontId="21" fillId="0" borderId="15" xfId="0" applyFont="1" applyFill="1" applyBorder="1" applyAlignment="1">
      <alignment horizontal="justify" vertical="center" wrapText="1"/>
    </xf>
    <xf numFmtId="199" fontId="20" fillId="0" borderId="10" xfId="0" applyNumberFormat="1" applyFont="1" applyFill="1" applyBorder="1" applyAlignment="1">
      <alignment horizontal="center" vertical="center" wrapText="1"/>
    </xf>
    <xf numFmtId="0" fontId="21" fillId="0" borderId="17" xfId="62" applyFont="1" applyFill="1" applyBorder="1" applyAlignment="1">
      <alignment horizontal="left" vertical="center" wrapText="1"/>
      <protection/>
    </xf>
    <xf numFmtId="0" fontId="21" fillId="0" borderId="17" xfId="0" applyFont="1" applyFill="1" applyBorder="1" applyAlignment="1">
      <alignment vertical="center" wrapText="1"/>
    </xf>
    <xf numFmtId="0" fontId="21" fillId="0" borderId="17" xfId="64" applyFont="1" applyFill="1" applyBorder="1" applyAlignment="1">
      <alignment vertical="center" wrapText="1"/>
      <protection/>
    </xf>
    <xf numFmtId="0" fontId="21" fillId="0" borderId="17" xfId="0" applyFont="1" applyFill="1" applyBorder="1" applyAlignment="1">
      <alignment horizontal="justify" vertical="center" wrapText="1"/>
    </xf>
    <xf numFmtId="0" fontId="21" fillId="0" borderId="0" xfId="60" applyFont="1" applyAlignment="1">
      <alignment horizontal="center" vertical="center"/>
      <protection/>
    </xf>
    <xf numFmtId="0" fontId="21" fillId="0" borderId="12" xfId="0" applyFont="1" applyFill="1" applyBorder="1" applyAlignment="1">
      <alignment horizontal="left" vertical="center" wrapText="1"/>
    </xf>
    <xf numFmtId="0" fontId="21" fillId="0" borderId="12" xfId="0" applyFont="1" applyFill="1" applyBorder="1" applyAlignment="1">
      <alignment vertical="center" wrapText="1"/>
    </xf>
    <xf numFmtId="0" fontId="21" fillId="0" borderId="10" xfId="62" applyFont="1" applyFill="1" applyBorder="1" applyAlignment="1">
      <alignment horizontal="left" vertical="center" wrapText="1"/>
      <protection/>
    </xf>
    <xf numFmtId="0" fontId="21" fillId="0" borderId="12" xfId="62" applyFont="1" applyFill="1" applyBorder="1" applyAlignment="1">
      <alignment horizontal="left" vertical="center" wrapText="1"/>
      <protection/>
    </xf>
    <xf numFmtId="0" fontId="21" fillId="35" borderId="11" xfId="60" applyFont="1" applyFill="1" applyBorder="1" applyAlignment="1">
      <alignment vertical="center"/>
      <protection/>
    </xf>
    <xf numFmtId="0" fontId="20" fillId="0" borderId="10" xfId="0" applyFont="1" applyFill="1" applyBorder="1" applyAlignment="1">
      <alignment horizontal="center" vertical="center"/>
    </xf>
    <xf numFmtId="0" fontId="22" fillId="0" borderId="0" xfId="60" applyFont="1">
      <alignment/>
      <protection/>
    </xf>
    <xf numFmtId="0" fontId="19" fillId="35" borderId="10" xfId="60" applyFont="1" applyFill="1" applyBorder="1">
      <alignment/>
      <protection/>
    </xf>
    <xf numFmtId="0" fontId="0" fillId="0" borderId="0" xfId="60" applyAlignment="1">
      <alignment horizontal="center" vertical="center"/>
      <protection/>
    </xf>
    <xf numFmtId="0" fontId="8" fillId="0" borderId="0" xfId="0" applyFont="1" applyAlignment="1">
      <alignment horizontal="left"/>
    </xf>
    <xf numFmtId="0" fontId="0" fillId="0" borderId="14" xfId="0" applyBorder="1" applyAlignment="1">
      <alignment horizontal="right"/>
    </xf>
    <xf numFmtId="0" fontId="0" fillId="0" borderId="14" xfId="0" applyBorder="1" applyAlignment="1">
      <alignment horizontal="center"/>
    </xf>
    <xf numFmtId="2" fontId="68" fillId="37" borderId="10" xfId="0" applyNumberFormat="1" applyFont="1" applyFill="1" applyBorder="1" applyAlignment="1" applyProtection="1">
      <alignment horizontal="center" vertical="center" wrapText="1"/>
      <protection/>
    </xf>
    <xf numFmtId="0" fontId="68" fillId="37" borderId="10" xfId="0" applyFont="1" applyFill="1" applyBorder="1" applyAlignment="1" applyProtection="1">
      <alignment horizontal="center" vertical="center" wrapText="1"/>
      <protection/>
    </xf>
    <xf numFmtId="2" fontId="70" fillId="37" borderId="10" xfId="0" applyNumberFormat="1" applyFont="1" applyFill="1" applyBorder="1" applyAlignment="1">
      <alignment horizontal="center" vertical="center" wrapText="1"/>
    </xf>
    <xf numFmtId="2" fontId="73" fillId="37" borderId="10" xfId="0" applyNumberFormat="1" applyFont="1" applyFill="1" applyBorder="1" applyAlignment="1">
      <alignment/>
    </xf>
    <xf numFmtId="0" fontId="70" fillId="37" borderId="10" xfId="0" applyFont="1" applyFill="1" applyBorder="1" applyAlignment="1" applyProtection="1">
      <alignment horizontal="center" vertical="center" wrapText="1"/>
      <protection/>
    </xf>
    <xf numFmtId="10" fontId="70" fillId="37" borderId="10" xfId="0" applyNumberFormat="1" applyFont="1" applyFill="1" applyBorder="1" applyAlignment="1">
      <alignment horizontal="center" vertical="top" wrapText="1"/>
    </xf>
    <xf numFmtId="2" fontId="1" fillId="32" borderId="10" xfId="0" applyNumberFormat="1" applyFont="1" applyFill="1" applyBorder="1" applyAlignment="1">
      <alignment horizontal="center"/>
    </xf>
    <xf numFmtId="0" fontId="1" fillId="32" borderId="10" xfId="0" applyNumberFormat="1" applyFont="1" applyFill="1" applyBorder="1" applyAlignment="1">
      <alignment horizontal="center" vertical="center" wrapText="1"/>
    </xf>
    <xf numFmtId="2" fontId="1" fillId="32" borderId="10" xfId="0" applyNumberFormat="1" applyFont="1" applyFill="1" applyBorder="1" applyAlignment="1">
      <alignment horizontal="center" vertical="center" wrapText="1"/>
    </xf>
    <xf numFmtId="2" fontId="0" fillId="32" borderId="10" xfId="0" applyNumberFormat="1" applyFont="1" applyFill="1" applyBorder="1" applyAlignment="1">
      <alignment horizontal="center" vertical="center" wrapText="1"/>
    </xf>
    <xf numFmtId="2" fontId="0" fillId="32" borderId="10" xfId="0" applyNumberFormat="1" applyFill="1" applyBorder="1" applyAlignment="1">
      <alignment horizontal="center" vertical="center" wrapText="1"/>
    </xf>
    <xf numFmtId="2" fontId="0" fillId="32" borderId="10" xfId="0" applyNumberFormat="1" applyFill="1" applyBorder="1" applyAlignment="1">
      <alignment/>
    </xf>
    <xf numFmtId="2" fontId="1" fillId="32" borderId="10" xfId="0" applyNumberFormat="1" applyFont="1" applyFill="1" applyBorder="1" applyAlignment="1">
      <alignment horizontal="center" vertical="center"/>
    </xf>
    <xf numFmtId="2" fontId="1" fillId="0" borderId="0" xfId="0" applyNumberFormat="1" applyFont="1" applyAlignment="1">
      <alignment horizontal="left" wrapText="1"/>
    </xf>
    <xf numFmtId="0" fontId="9" fillId="0" borderId="0" xfId="0" applyFont="1" applyAlignment="1">
      <alignment horizontal="center"/>
    </xf>
    <xf numFmtId="0" fontId="14" fillId="36" borderId="0" xfId="0" applyFont="1" applyFill="1" applyAlignment="1">
      <alignment horizontal="center"/>
    </xf>
    <xf numFmtId="0" fontId="15" fillId="36" borderId="0" xfId="0" applyFont="1" applyFill="1" applyAlignment="1">
      <alignment horizontal="center"/>
    </xf>
    <xf numFmtId="0" fontId="15" fillId="36" borderId="10" xfId="0" applyFont="1" applyFill="1" applyBorder="1" applyAlignment="1">
      <alignment horizontal="center" wrapText="1"/>
    </xf>
  </cellXfs>
  <cellStyles count="57">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3 7" xfId="45"/>
    <cellStyle name="Currency" xfId="46"/>
    <cellStyle name="Currency [0]"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ARRLINESS REGIONWISE" xfId="62"/>
    <cellStyle name="Normal_FORMATS 5 YEAR ALOKE" xfId="63"/>
    <cellStyle name="Normal_Investment VER1"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76200</xdr:rowOff>
    </xdr:from>
    <xdr:to>
      <xdr:col>6</xdr:col>
      <xdr:colOff>85725</xdr:colOff>
      <xdr:row>4</xdr:row>
      <xdr:rowOff>114300</xdr:rowOff>
    </xdr:to>
    <xdr:sp>
      <xdr:nvSpPr>
        <xdr:cNvPr id="1" name="Text Box 5"/>
        <xdr:cNvSpPr txBox="1">
          <a:spLocks noChangeArrowheads="1"/>
        </xdr:cNvSpPr>
      </xdr:nvSpPr>
      <xdr:spPr>
        <a:xfrm>
          <a:off x="4438650" y="561975"/>
          <a:ext cx="79057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Rs. in crores
</a:t>
          </a:r>
        </a:p>
      </xdr:txBody>
    </xdr:sp>
    <xdr:clientData/>
  </xdr:twoCellAnchor>
  <xdr:twoCellAnchor>
    <xdr:from>
      <xdr:col>5</xdr:col>
      <xdr:colOff>28575</xdr:colOff>
      <xdr:row>11</xdr:row>
      <xdr:rowOff>76200</xdr:rowOff>
    </xdr:from>
    <xdr:to>
      <xdr:col>6</xdr:col>
      <xdr:colOff>85725</xdr:colOff>
      <xdr:row>12</xdr:row>
      <xdr:rowOff>114300</xdr:rowOff>
    </xdr:to>
    <xdr:sp>
      <xdr:nvSpPr>
        <xdr:cNvPr id="2" name="Text Box 6"/>
        <xdr:cNvSpPr txBox="1">
          <a:spLocks noChangeArrowheads="1"/>
        </xdr:cNvSpPr>
      </xdr:nvSpPr>
      <xdr:spPr>
        <a:xfrm>
          <a:off x="4438650" y="2533650"/>
          <a:ext cx="79057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Rs. in crores
</a:t>
          </a:r>
        </a:p>
      </xdr:txBody>
    </xdr:sp>
    <xdr:clientData/>
  </xdr:twoCellAnchor>
  <xdr:twoCellAnchor>
    <xdr:from>
      <xdr:col>5</xdr:col>
      <xdr:colOff>28575</xdr:colOff>
      <xdr:row>19</xdr:row>
      <xdr:rowOff>76200</xdr:rowOff>
    </xdr:from>
    <xdr:to>
      <xdr:col>6</xdr:col>
      <xdr:colOff>85725</xdr:colOff>
      <xdr:row>20</xdr:row>
      <xdr:rowOff>114300</xdr:rowOff>
    </xdr:to>
    <xdr:sp>
      <xdr:nvSpPr>
        <xdr:cNvPr id="3" name="Text Box 7"/>
        <xdr:cNvSpPr txBox="1">
          <a:spLocks noChangeArrowheads="1"/>
        </xdr:cNvSpPr>
      </xdr:nvSpPr>
      <xdr:spPr>
        <a:xfrm>
          <a:off x="4438650" y="4524375"/>
          <a:ext cx="79057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Rs. in crores
</a:t>
          </a:r>
        </a:p>
      </xdr:txBody>
    </xdr:sp>
    <xdr:clientData/>
  </xdr:twoCellAnchor>
  <xdr:twoCellAnchor>
    <xdr:from>
      <xdr:col>5</xdr:col>
      <xdr:colOff>28575</xdr:colOff>
      <xdr:row>26</xdr:row>
      <xdr:rowOff>76200</xdr:rowOff>
    </xdr:from>
    <xdr:to>
      <xdr:col>6</xdr:col>
      <xdr:colOff>85725</xdr:colOff>
      <xdr:row>27</xdr:row>
      <xdr:rowOff>114300</xdr:rowOff>
    </xdr:to>
    <xdr:sp>
      <xdr:nvSpPr>
        <xdr:cNvPr id="4" name="Text Box 8"/>
        <xdr:cNvSpPr txBox="1">
          <a:spLocks noChangeArrowheads="1"/>
        </xdr:cNvSpPr>
      </xdr:nvSpPr>
      <xdr:spPr>
        <a:xfrm>
          <a:off x="4438650" y="6286500"/>
          <a:ext cx="79057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Rs. in crores
</a:t>
          </a:r>
        </a:p>
      </xdr:txBody>
    </xdr:sp>
    <xdr:clientData/>
  </xdr:twoCellAnchor>
  <xdr:twoCellAnchor>
    <xdr:from>
      <xdr:col>5</xdr:col>
      <xdr:colOff>28575</xdr:colOff>
      <xdr:row>33</xdr:row>
      <xdr:rowOff>76200</xdr:rowOff>
    </xdr:from>
    <xdr:to>
      <xdr:col>6</xdr:col>
      <xdr:colOff>85725</xdr:colOff>
      <xdr:row>34</xdr:row>
      <xdr:rowOff>114300</xdr:rowOff>
    </xdr:to>
    <xdr:sp>
      <xdr:nvSpPr>
        <xdr:cNvPr id="5" name="Text Box 9"/>
        <xdr:cNvSpPr txBox="1">
          <a:spLocks noChangeArrowheads="1"/>
        </xdr:cNvSpPr>
      </xdr:nvSpPr>
      <xdr:spPr>
        <a:xfrm>
          <a:off x="4438650" y="8105775"/>
          <a:ext cx="79057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Rs. in crores
</a:t>
          </a:r>
        </a:p>
      </xdr:txBody>
    </xdr:sp>
    <xdr:clientData/>
  </xdr:twoCellAnchor>
  <xdr:twoCellAnchor>
    <xdr:from>
      <xdr:col>5</xdr:col>
      <xdr:colOff>28575</xdr:colOff>
      <xdr:row>40</xdr:row>
      <xdr:rowOff>76200</xdr:rowOff>
    </xdr:from>
    <xdr:to>
      <xdr:col>6</xdr:col>
      <xdr:colOff>85725</xdr:colOff>
      <xdr:row>41</xdr:row>
      <xdr:rowOff>114300</xdr:rowOff>
    </xdr:to>
    <xdr:sp>
      <xdr:nvSpPr>
        <xdr:cNvPr id="6" name="Text Box 10"/>
        <xdr:cNvSpPr txBox="1">
          <a:spLocks noChangeArrowheads="1"/>
        </xdr:cNvSpPr>
      </xdr:nvSpPr>
      <xdr:spPr>
        <a:xfrm>
          <a:off x="4438650" y="9877425"/>
          <a:ext cx="790575" cy="200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Rs. in crores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0.102.38\e\ARR_MYT\ARR%202019-20%20to%202023-24\Formats%20of%20ED%20RAC\O&amp;M%20Cost%20%20C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P\Desktop\Information\ARR_26.10.18\APTransco_MYT%20Calculation_v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mp. Cost 18-19"/>
      <sheetName val="Emp. Cost 18-19 (TR)"/>
      <sheetName val="Emp. Cost 19-20"/>
      <sheetName val="Emp. Cost 19-20 (TR)"/>
      <sheetName val="Emp. Cost 20-21"/>
      <sheetName val="Emp. Cost 20-21 (TR)"/>
      <sheetName val="Emp. Cost 21-22"/>
      <sheetName val="Emp. Cost 21-22 (TR)"/>
      <sheetName val="Emp. Cost 22-23"/>
      <sheetName val="Emp. Cost 22-23 (TR)"/>
      <sheetName val="Emp. Cost 23-24"/>
      <sheetName val="Emp. Cost 23-24 (TR)"/>
      <sheetName val="adm"/>
      <sheetName val="R&amp;M"/>
      <sheetName val="Sheet2"/>
      <sheetName val="abstract"/>
      <sheetName val="Proj 15-16  (2)"/>
      <sheetName val="Abstrat with capital"/>
    </sheetNames>
    <sheetDataSet>
      <sheetData sheetId="0">
        <row r="39">
          <cell r="V39">
            <v>45861.357315980786</v>
          </cell>
        </row>
      </sheetData>
      <sheetData sheetId="1">
        <row r="39">
          <cell r="V39">
            <v>41394.389551786604</v>
          </cell>
        </row>
      </sheetData>
      <sheetData sheetId="2">
        <row r="39">
          <cell r="V39">
            <v>53521.23093206301</v>
          </cell>
        </row>
      </sheetData>
      <sheetData sheetId="3">
        <row r="39">
          <cell r="V39">
            <v>48386.87725704178</v>
          </cell>
        </row>
      </sheetData>
      <sheetData sheetId="4">
        <row r="39">
          <cell r="W39">
            <v>58577.55029140927</v>
          </cell>
        </row>
      </sheetData>
      <sheetData sheetId="5">
        <row r="39">
          <cell r="W39">
            <v>52958.53257550318</v>
          </cell>
        </row>
      </sheetData>
      <sheetData sheetId="6">
        <row r="39">
          <cell r="W39">
            <v>64421.61748678218</v>
          </cell>
        </row>
      </sheetData>
      <sheetData sheetId="7">
        <row r="39">
          <cell r="W39">
            <v>58242.22020461849</v>
          </cell>
        </row>
      </sheetData>
      <sheetData sheetId="8">
        <row r="39">
          <cell r="W39">
            <v>71310.89049700942</v>
          </cell>
        </row>
      </sheetData>
      <sheetData sheetId="9">
        <row r="39">
          <cell r="W39">
            <v>64470.36766619824</v>
          </cell>
        </row>
      </sheetData>
      <sheetData sheetId="10">
        <row r="39">
          <cell r="W39">
            <v>79027.76702730755</v>
          </cell>
        </row>
      </sheetData>
      <sheetData sheetId="11">
        <row r="39">
          <cell r="W39">
            <v>71447.17471498632</v>
          </cell>
        </row>
      </sheetData>
      <sheetData sheetId="12">
        <row r="74">
          <cell r="G74">
            <v>8399.030177632001</v>
          </cell>
          <cell r="H74">
            <v>10078.8362131584</v>
          </cell>
          <cell r="I74">
            <v>12094.60345579008</v>
          </cell>
          <cell r="J74">
            <v>14513.524146948097</v>
          </cell>
          <cell r="K74">
            <v>17416.228976337716</v>
          </cell>
          <cell r="L74">
            <v>20899.474771605255</v>
          </cell>
        </row>
        <row r="75">
          <cell r="G75">
            <v>8763.030177632001</v>
          </cell>
          <cell r="H75">
            <v>10515.6362131584</v>
          </cell>
          <cell r="I75">
            <v>12618.76345579008</v>
          </cell>
          <cell r="J75">
            <v>15142.516146948097</v>
          </cell>
          <cell r="K75">
            <v>18171.019376337717</v>
          </cell>
          <cell r="L75">
            <v>21805.223251605254</v>
          </cell>
        </row>
      </sheetData>
      <sheetData sheetId="13">
        <row r="75">
          <cell r="G75">
            <v>16316.743103808</v>
          </cell>
          <cell r="H75">
            <v>19580.0917245696</v>
          </cell>
          <cell r="I75">
            <v>23496.110069483522</v>
          </cell>
          <cell r="J75">
            <v>28195.33208338022</v>
          </cell>
          <cell r="K75">
            <v>33834.39850005626</v>
          </cell>
          <cell r="L75">
            <v>40601.278200067514</v>
          </cell>
        </row>
        <row r="76">
          <cell r="G76">
            <v>16581.743103808</v>
          </cell>
          <cell r="H76">
            <v>19898.0917245696</v>
          </cell>
          <cell r="I76">
            <v>23877.71006948352</v>
          </cell>
          <cell r="J76">
            <v>28653.25208338022</v>
          </cell>
          <cell r="K76">
            <v>34383.90250005626</v>
          </cell>
          <cell r="L76">
            <v>41260.68300006751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s &amp; Assumptions"/>
      <sheetName val="Capacity"/>
      <sheetName val="1.0 ARR"/>
      <sheetName val="Asset"/>
      <sheetName val="Depreciation"/>
      <sheetName val="O&amp;M"/>
      <sheetName val="CapEX-Consolidated"/>
      <sheetName val="Capex"/>
      <sheetName val="RoCE"/>
      <sheetName val="NTI"/>
      <sheetName val="True up"/>
      <sheetName val="Sheet1"/>
      <sheetName val="O&amp;M Projections by APTransco"/>
    </sheetNames>
    <sheetDataSet>
      <sheetData sheetId="3">
        <row r="95">
          <cell r="D95">
            <v>5418.501688332551</v>
          </cell>
        </row>
        <row r="127">
          <cell r="D127">
            <v>4744.667433906144</v>
          </cell>
        </row>
        <row r="159">
          <cell r="D159">
            <v>5058.520047062942</v>
          </cell>
        </row>
        <row r="191">
          <cell r="D191">
            <v>3758.5004220295855</v>
          </cell>
        </row>
        <row r="223">
          <cell r="D223">
            <v>4290.601311724163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2"/>
  <sheetViews>
    <sheetView zoomScalePageLayoutView="0" workbookViewId="0" topLeftCell="A1">
      <selection activeCell="C33" sqref="C33"/>
    </sheetView>
  </sheetViews>
  <sheetFormatPr defaultColWidth="9.140625" defaultRowHeight="12.75"/>
  <cols>
    <col min="1" max="1" width="52.28125" style="0" customWidth="1"/>
    <col min="2" max="6" width="10.57421875" style="0" bestFit="1" customWidth="1"/>
    <col min="7" max="7" width="10.8515625" style="0" bestFit="1" customWidth="1"/>
    <col min="8" max="8" width="10.57421875" style="0" bestFit="1" customWidth="1"/>
    <col min="9" max="9" width="11.28125" style="0" bestFit="1" customWidth="1"/>
    <col min="10" max="12" width="10.57421875" style="0" bestFit="1" customWidth="1"/>
  </cols>
  <sheetData>
    <row r="1" spans="1:12" ht="18">
      <c r="A1" s="419" t="s">
        <v>430</v>
      </c>
      <c r="B1" s="419"/>
      <c r="C1" s="419"/>
      <c r="D1" s="419"/>
      <c r="E1" s="419"/>
      <c r="F1" s="419"/>
      <c r="G1" s="419"/>
      <c r="H1" s="419"/>
      <c r="I1" s="419"/>
      <c r="J1" s="419"/>
      <c r="K1" s="419"/>
      <c r="L1" s="419"/>
    </row>
    <row r="2" spans="1:12" ht="23.25" customHeight="1">
      <c r="A2" s="420" t="s">
        <v>375</v>
      </c>
      <c r="B2" s="420"/>
      <c r="C2" s="420"/>
      <c r="D2" s="420"/>
      <c r="E2" s="420"/>
      <c r="F2" s="420"/>
      <c r="G2" s="420"/>
      <c r="H2" s="420"/>
      <c r="I2" s="420"/>
      <c r="J2" s="420"/>
      <c r="K2" s="420"/>
      <c r="L2" s="420"/>
    </row>
    <row r="3" spans="1:12" s="68" customFormat="1" ht="32.25" customHeight="1">
      <c r="A3" s="124" t="s">
        <v>412</v>
      </c>
      <c r="B3" s="124" t="s">
        <v>454</v>
      </c>
      <c r="C3" s="124" t="s">
        <v>455</v>
      </c>
      <c r="D3" s="124" t="s">
        <v>456</v>
      </c>
      <c r="E3" s="124" t="s">
        <v>457</v>
      </c>
      <c r="F3" s="124" t="s">
        <v>458</v>
      </c>
      <c r="G3" s="125" t="s">
        <v>413</v>
      </c>
      <c r="H3" s="124" t="s">
        <v>414</v>
      </c>
      <c r="I3" s="67" t="s">
        <v>415</v>
      </c>
      <c r="J3" s="67" t="s">
        <v>416</v>
      </c>
      <c r="K3" s="67" t="s">
        <v>417</v>
      </c>
      <c r="L3" s="67" t="s">
        <v>418</v>
      </c>
    </row>
    <row r="4" spans="1:12" s="68" customFormat="1" ht="19.5" customHeight="1">
      <c r="A4" s="67" t="s">
        <v>431</v>
      </c>
      <c r="B4" s="67"/>
      <c r="C4" s="67"/>
      <c r="D4" s="67"/>
      <c r="E4" s="67"/>
      <c r="F4" s="67"/>
      <c r="G4" s="136">
        <f>((199.82-19.68)*2)+30</f>
        <v>390.28</v>
      </c>
      <c r="H4" s="67"/>
      <c r="I4" s="67"/>
      <c r="J4" s="67"/>
      <c r="K4" s="67"/>
      <c r="L4" s="67"/>
    </row>
    <row r="5" spans="1:12" s="68" customFormat="1" ht="19.5" customHeight="1">
      <c r="A5" s="67" t="s">
        <v>432</v>
      </c>
      <c r="B5" s="67"/>
      <c r="C5" s="67"/>
      <c r="D5" s="67"/>
      <c r="E5" s="67"/>
      <c r="F5" s="67"/>
      <c r="G5" s="136">
        <f>(30.56-1.63)*2</f>
        <v>57.86</v>
      </c>
      <c r="H5" s="67"/>
      <c r="I5" s="67"/>
      <c r="J5" s="67"/>
      <c r="K5" s="67"/>
      <c r="L5" s="67"/>
    </row>
    <row r="6" spans="1:12" s="68" customFormat="1" ht="19.5" customHeight="1">
      <c r="A6" s="67" t="s">
        <v>433</v>
      </c>
      <c r="B6" s="67"/>
      <c r="C6" s="67"/>
      <c r="D6" s="67"/>
      <c r="E6" s="67"/>
      <c r="F6" s="67"/>
      <c r="G6" s="136">
        <f>(103.78-3.07)*2</f>
        <v>201.42000000000002</v>
      </c>
      <c r="H6" s="67"/>
      <c r="I6" s="67"/>
      <c r="J6" s="67"/>
      <c r="K6" s="67"/>
      <c r="L6" s="67"/>
    </row>
    <row r="7" spans="1:12" s="68" customFormat="1" ht="19.5" customHeight="1">
      <c r="A7" s="67" t="s">
        <v>453</v>
      </c>
      <c r="B7" s="67"/>
      <c r="C7" s="67"/>
      <c r="D7" s="67"/>
      <c r="E7" s="67"/>
      <c r="F7" s="67"/>
      <c r="G7" s="136">
        <f>-(49*2)</f>
        <v>-98</v>
      </c>
      <c r="H7" s="67"/>
      <c r="I7" s="67"/>
      <c r="J7" s="67"/>
      <c r="K7" s="67"/>
      <c r="L7" s="67"/>
    </row>
    <row r="8" spans="1:12" s="68" customFormat="1" ht="19.5" customHeight="1">
      <c r="A8" s="127" t="s">
        <v>464</v>
      </c>
      <c r="B8" s="141">
        <v>216.75</v>
      </c>
      <c r="C8" s="141">
        <v>231.03</v>
      </c>
      <c r="D8" s="141">
        <v>345.43</v>
      </c>
      <c r="E8" s="141">
        <v>410.92</v>
      </c>
      <c r="F8" s="142">
        <v>478.9</v>
      </c>
      <c r="G8" s="136">
        <f>+G4+G5+G6+G7</f>
        <v>551.56</v>
      </c>
      <c r="H8" s="122">
        <f>+H37</f>
        <v>644.4019057951393</v>
      </c>
      <c r="I8" s="122">
        <f>+I37</f>
        <v>750.4725840728129</v>
      </c>
      <c r="J8" s="122">
        <f>+J37</f>
        <v>875.8975466134701</v>
      </c>
      <c r="K8" s="122">
        <f>+K37</f>
        <v>1014.8938880581748</v>
      </c>
      <c r="L8" s="122">
        <f>+L37</f>
        <v>1176.184472420773</v>
      </c>
    </row>
    <row r="9" spans="1:12" s="68" customFormat="1" ht="19.5" customHeight="1">
      <c r="A9" s="144" t="s">
        <v>465</v>
      </c>
      <c r="B9" s="145"/>
      <c r="C9" s="145">
        <f>+C8-B8</f>
        <v>14.280000000000001</v>
      </c>
      <c r="D9" s="145">
        <f aca="true" t="shared" si="0" ref="D9:L9">+D8-C8</f>
        <v>114.4</v>
      </c>
      <c r="E9" s="145">
        <f t="shared" si="0"/>
        <v>65.49000000000001</v>
      </c>
      <c r="F9" s="145">
        <f t="shared" si="0"/>
        <v>67.97999999999996</v>
      </c>
      <c r="G9" s="145">
        <f t="shared" si="0"/>
        <v>72.65999999999997</v>
      </c>
      <c r="H9" s="145">
        <f t="shared" si="0"/>
        <v>92.84190579513938</v>
      </c>
      <c r="I9" s="145">
        <f t="shared" si="0"/>
        <v>106.07067827767355</v>
      </c>
      <c r="J9" s="145">
        <f t="shared" si="0"/>
        <v>125.42496254065725</v>
      </c>
      <c r="K9" s="145">
        <f t="shared" si="0"/>
        <v>138.99634144470463</v>
      </c>
      <c r="L9" s="145">
        <f t="shared" si="0"/>
        <v>161.29058436259834</v>
      </c>
    </row>
    <row r="10" spans="1:12" s="68" customFormat="1" ht="19.5" customHeight="1">
      <c r="A10" s="144" t="s">
        <v>459</v>
      </c>
      <c r="B10" s="146"/>
      <c r="C10" s="147">
        <f>+C9/B8</f>
        <v>0.06588235294117648</v>
      </c>
      <c r="D10" s="147">
        <f aca="true" t="shared" si="1" ref="D10:L10">+D9/C8</f>
        <v>0.49517378695407527</v>
      </c>
      <c r="E10" s="147">
        <f t="shared" si="1"/>
        <v>0.18958978664273515</v>
      </c>
      <c r="F10" s="147">
        <f t="shared" si="1"/>
        <v>0.16543366105324628</v>
      </c>
      <c r="G10" s="147">
        <f t="shared" si="1"/>
        <v>0.15172269784923778</v>
      </c>
      <c r="H10" s="147">
        <f t="shared" si="1"/>
        <v>0.16832603124798642</v>
      </c>
      <c r="I10" s="147">
        <f t="shared" si="1"/>
        <v>0.16460329698558385</v>
      </c>
      <c r="J10" s="147">
        <f t="shared" si="1"/>
        <v>0.16712797402934598</v>
      </c>
      <c r="K10" s="147">
        <f t="shared" si="1"/>
        <v>0.15869018241016164</v>
      </c>
      <c r="L10" s="147">
        <f t="shared" si="1"/>
        <v>0.1589235941416498</v>
      </c>
    </row>
    <row r="11" spans="1:12" s="68" customFormat="1" ht="19.5" customHeight="1">
      <c r="A11" s="67" t="s">
        <v>434</v>
      </c>
      <c r="B11" s="128">
        <v>0.3</v>
      </c>
      <c r="C11" s="128">
        <v>0.3</v>
      </c>
      <c r="D11" s="128">
        <v>0.3</v>
      </c>
      <c r="E11" s="128">
        <v>0.3</v>
      </c>
      <c r="F11" s="128">
        <v>0.3</v>
      </c>
      <c r="G11" s="128">
        <v>0.3</v>
      </c>
      <c r="H11" s="128">
        <v>0.3</v>
      </c>
      <c r="I11" s="128">
        <v>0.3</v>
      </c>
      <c r="J11" s="128">
        <v>0.3</v>
      </c>
      <c r="K11" s="128">
        <v>0.3</v>
      </c>
      <c r="L11" s="128">
        <v>0.3</v>
      </c>
    </row>
    <row r="12" spans="1:12" s="68" customFormat="1" ht="19.5" customHeight="1">
      <c r="A12" s="67" t="s">
        <v>435</v>
      </c>
      <c r="B12" s="128">
        <v>0.7</v>
      </c>
      <c r="C12" s="128">
        <v>0.7</v>
      </c>
      <c r="D12" s="128">
        <v>0.7</v>
      </c>
      <c r="E12" s="128">
        <v>0.7</v>
      </c>
      <c r="F12" s="128">
        <v>0.7</v>
      </c>
      <c r="G12" s="128">
        <v>0.7</v>
      </c>
      <c r="H12" s="128">
        <v>0.7</v>
      </c>
      <c r="I12" s="128">
        <v>0.7</v>
      </c>
      <c r="J12" s="128">
        <v>0.7</v>
      </c>
      <c r="K12" s="128">
        <v>0.7</v>
      </c>
      <c r="L12" s="128">
        <v>0.7</v>
      </c>
    </row>
    <row r="13" spans="1:12" s="68" customFormat="1" ht="19.5" customHeight="1">
      <c r="A13" s="67" t="s">
        <v>436</v>
      </c>
      <c r="B13" s="21">
        <f aca="true" t="shared" si="2" ref="B13:G13">+B8*B11</f>
        <v>65.02499999999999</v>
      </c>
      <c r="C13" s="21">
        <f t="shared" si="2"/>
        <v>69.309</v>
      </c>
      <c r="D13" s="21">
        <f t="shared" si="2"/>
        <v>103.629</v>
      </c>
      <c r="E13" s="21">
        <f t="shared" si="2"/>
        <v>123.276</v>
      </c>
      <c r="F13" s="21">
        <f t="shared" si="2"/>
        <v>143.67</v>
      </c>
      <c r="G13" s="21">
        <f t="shared" si="2"/>
        <v>165.468</v>
      </c>
      <c r="H13" s="21">
        <f>+H8*H11</f>
        <v>193.3205717385418</v>
      </c>
      <c r="I13" s="21">
        <f>+I8*I11</f>
        <v>225.14177522184386</v>
      </c>
      <c r="J13" s="21">
        <f>+J8*J11</f>
        <v>262.769263984041</v>
      </c>
      <c r="K13" s="21">
        <f>+K8*K11</f>
        <v>304.46816641745244</v>
      </c>
      <c r="L13" s="21">
        <f>+L8*L11</f>
        <v>352.8553417262319</v>
      </c>
    </row>
    <row r="14" spans="1:12" s="68" customFormat="1" ht="19.5" customHeight="1">
      <c r="A14" s="67" t="s">
        <v>437</v>
      </c>
      <c r="B14" s="21">
        <f aca="true" t="shared" si="3" ref="B14:G14">+B8*B12</f>
        <v>151.725</v>
      </c>
      <c r="C14" s="21">
        <f t="shared" si="3"/>
        <v>161.721</v>
      </c>
      <c r="D14" s="21">
        <f t="shared" si="3"/>
        <v>241.801</v>
      </c>
      <c r="E14" s="21">
        <f t="shared" si="3"/>
        <v>287.644</v>
      </c>
      <c r="F14" s="21">
        <f t="shared" si="3"/>
        <v>335.22999999999996</v>
      </c>
      <c r="G14" s="21">
        <f t="shared" si="3"/>
        <v>386.0919999999999</v>
      </c>
      <c r="H14" s="21">
        <f>+H8*H12</f>
        <v>451.0813340565975</v>
      </c>
      <c r="I14" s="21">
        <f>+I8*I12</f>
        <v>525.330808850969</v>
      </c>
      <c r="J14" s="21">
        <f>+J8*J12</f>
        <v>613.128282629429</v>
      </c>
      <c r="K14" s="21">
        <f>+K8*K12</f>
        <v>710.4257216407223</v>
      </c>
      <c r="L14" s="21">
        <f>+L8*L12</f>
        <v>823.3291306945412</v>
      </c>
    </row>
    <row r="15" spans="1:12" s="68" customFormat="1" ht="19.5" customHeight="1">
      <c r="A15" s="67" t="s">
        <v>419</v>
      </c>
      <c r="B15" s="67">
        <v>30450</v>
      </c>
      <c r="C15" s="67">
        <v>30969</v>
      </c>
      <c r="D15" s="67">
        <v>31773</v>
      </c>
      <c r="E15" s="67">
        <v>32846</v>
      </c>
      <c r="F15" s="67">
        <v>34290</v>
      </c>
      <c r="G15" s="129">
        <v>35130</v>
      </c>
      <c r="H15" s="129">
        <f>+H35</f>
        <v>38163</v>
      </c>
      <c r="I15" s="129">
        <f>+I35</f>
        <v>40281</v>
      </c>
      <c r="J15" s="129">
        <f>+J35</f>
        <v>43596</v>
      </c>
      <c r="K15" s="129">
        <f>+K35</f>
        <v>46435</v>
      </c>
      <c r="L15" s="129">
        <f>+L35</f>
        <v>48804</v>
      </c>
    </row>
    <row r="16" spans="1:12" s="143" customFormat="1" ht="19.5" customHeight="1">
      <c r="A16" s="144" t="s">
        <v>460</v>
      </c>
      <c r="B16" s="145"/>
      <c r="C16" s="148">
        <f>+C15-B15</f>
        <v>519</v>
      </c>
      <c r="D16" s="148">
        <f aca="true" t="shared" si="4" ref="D16:L16">+D15-C15</f>
        <v>804</v>
      </c>
      <c r="E16" s="148">
        <f t="shared" si="4"/>
        <v>1073</v>
      </c>
      <c r="F16" s="148">
        <f t="shared" si="4"/>
        <v>1444</v>
      </c>
      <c r="G16" s="148">
        <f t="shared" si="4"/>
        <v>840</v>
      </c>
      <c r="H16" s="148">
        <f t="shared" si="4"/>
        <v>3033</v>
      </c>
      <c r="I16" s="148">
        <f t="shared" si="4"/>
        <v>2118</v>
      </c>
      <c r="J16" s="148">
        <f t="shared" si="4"/>
        <v>3315</v>
      </c>
      <c r="K16" s="148">
        <f t="shared" si="4"/>
        <v>2839</v>
      </c>
      <c r="L16" s="148">
        <f t="shared" si="4"/>
        <v>2369</v>
      </c>
    </row>
    <row r="17" spans="1:12" s="143" customFormat="1" ht="19.5" customHeight="1">
      <c r="A17" s="144" t="s">
        <v>461</v>
      </c>
      <c r="B17" s="146"/>
      <c r="C17" s="147">
        <f>+C16/B15</f>
        <v>0.017044334975369457</v>
      </c>
      <c r="D17" s="147">
        <f aca="true" t="shared" si="5" ref="D17:L17">+D16/C15</f>
        <v>0.025961445316284026</v>
      </c>
      <c r="E17" s="147">
        <f t="shared" si="5"/>
        <v>0.033770811695464704</v>
      </c>
      <c r="F17" s="147">
        <f t="shared" si="5"/>
        <v>0.04396273518845521</v>
      </c>
      <c r="G17" s="147">
        <f t="shared" si="5"/>
        <v>0.024496937882764653</v>
      </c>
      <c r="H17" s="147">
        <f t="shared" si="5"/>
        <v>0.08633646456020495</v>
      </c>
      <c r="I17" s="147">
        <f t="shared" si="5"/>
        <v>0.05549878154233158</v>
      </c>
      <c r="J17" s="147">
        <f t="shared" si="5"/>
        <v>0.08229686452669993</v>
      </c>
      <c r="K17" s="147">
        <f t="shared" si="5"/>
        <v>0.06512065327094228</v>
      </c>
      <c r="L17" s="147">
        <f t="shared" si="5"/>
        <v>0.05101755141595779</v>
      </c>
    </row>
    <row r="18" spans="1:12" s="68" customFormat="1" ht="19.5" customHeight="1">
      <c r="A18" s="67" t="s">
        <v>438</v>
      </c>
      <c r="B18" s="67">
        <v>2299</v>
      </c>
      <c r="C18" s="67">
        <v>2385</v>
      </c>
      <c r="D18" s="67">
        <v>2518</v>
      </c>
      <c r="E18" s="67">
        <v>2659</v>
      </c>
      <c r="F18" s="67">
        <v>2755</v>
      </c>
      <c r="G18" s="129">
        <f>2299+86+133+141+96+68</f>
        <v>2823</v>
      </c>
      <c r="H18" s="67">
        <f>+H36</f>
        <v>2946</v>
      </c>
      <c r="I18" s="67">
        <f>+I36</f>
        <v>3099</v>
      </c>
      <c r="J18" s="67">
        <f>+J36</f>
        <v>3233</v>
      </c>
      <c r="K18" s="67">
        <f>+K36</f>
        <v>3361</v>
      </c>
      <c r="L18" s="67">
        <f>+L36</f>
        <v>3517</v>
      </c>
    </row>
    <row r="19" spans="1:12" s="143" customFormat="1" ht="19.5" customHeight="1">
      <c r="A19" s="144" t="s">
        <v>460</v>
      </c>
      <c r="B19" s="145"/>
      <c r="C19" s="148">
        <f aca="true" t="shared" si="6" ref="C19:L19">+C18-B18</f>
        <v>86</v>
      </c>
      <c r="D19" s="148">
        <f t="shared" si="6"/>
        <v>133</v>
      </c>
      <c r="E19" s="148">
        <f t="shared" si="6"/>
        <v>141</v>
      </c>
      <c r="F19" s="148">
        <f t="shared" si="6"/>
        <v>96</v>
      </c>
      <c r="G19" s="148">
        <f t="shared" si="6"/>
        <v>68</v>
      </c>
      <c r="H19" s="148">
        <f t="shared" si="6"/>
        <v>123</v>
      </c>
      <c r="I19" s="148">
        <f t="shared" si="6"/>
        <v>153</v>
      </c>
      <c r="J19" s="148">
        <f t="shared" si="6"/>
        <v>134</v>
      </c>
      <c r="K19" s="148">
        <f t="shared" si="6"/>
        <v>128</v>
      </c>
      <c r="L19" s="148">
        <f t="shared" si="6"/>
        <v>156</v>
      </c>
    </row>
    <row r="20" spans="1:12" s="143" customFormat="1" ht="19.5" customHeight="1">
      <c r="A20" s="144" t="s">
        <v>461</v>
      </c>
      <c r="B20" s="146"/>
      <c r="C20" s="147">
        <f aca="true" t="shared" si="7" ref="C20:L20">+C19/B18</f>
        <v>0.037407568508046975</v>
      </c>
      <c r="D20" s="147">
        <f t="shared" si="7"/>
        <v>0.055765199161425576</v>
      </c>
      <c r="E20" s="147">
        <f t="shared" si="7"/>
        <v>0.05599682287529786</v>
      </c>
      <c r="F20" s="147">
        <f t="shared" si="7"/>
        <v>0.03610379842045882</v>
      </c>
      <c r="G20" s="147">
        <f t="shared" si="7"/>
        <v>0.024682395644283123</v>
      </c>
      <c r="H20" s="147">
        <f t="shared" si="7"/>
        <v>0.04357066950053135</v>
      </c>
      <c r="I20" s="147">
        <f t="shared" si="7"/>
        <v>0.051934826883910386</v>
      </c>
      <c r="J20" s="147">
        <f t="shared" si="7"/>
        <v>0.043239754759599874</v>
      </c>
      <c r="K20" s="147">
        <f t="shared" si="7"/>
        <v>0.039591710485617077</v>
      </c>
      <c r="L20" s="147">
        <f t="shared" si="7"/>
        <v>0.046414757512645045</v>
      </c>
    </row>
    <row r="21" spans="1:12" s="68" customFormat="1" ht="19.5" customHeight="1">
      <c r="A21" s="67" t="s">
        <v>420</v>
      </c>
      <c r="B21" s="129">
        <f aca="true" t="shared" si="8" ref="B21:L21">+(B13/B15)*10000000</f>
        <v>21354.679802955663</v>
      </c>
      <c r="C21" s="129">
        <f t="shared" si="8"/>
        <v>22380.12205754141</v>
      </c>
      <c r="D21" s="129">
        <f t="shared" si="8"/>
        <v>32615.428193749412</v>
      </c>
      <c r="E21" s="129">
        <f t="shared" si="8"/>
        <v>37531.51068623272</v>
      </c>
      <c r="F21" s="129">
        <f t="shared" si="8"/>
        <v>41898.512685914255</v>
      </c>
      <c r="G21" s="129">
        <f t="shared" si="8"/>
        <v>47101.62254483347</v>
      </c>
      <c r="H21" s="129">
        <f t="shared" si="8"/>
        <v>50656.54475238891</v>
      </c>
      <c r="I21" s="129">
        <f t="shared" si="8"/>
        <v>55892.79690718797</v>
      </c>
      <c r="J21" s="129">
        <f t="shared" si="8"/>
        <v>60273.70951097371</v>
      </c>
      <c r="K21" s="129">
        <f t="shared" si="8"/>
        <v>65568.6801803494</v>
      </c>
      <c r="L21" s="129">
        <f t="shared" si="8"/>
        <v>72300.49621470206</v>
      </c>
    </row>
    <row r="22" spans="1:12" s="68" customFormat="1" ht="19.5" customHeight="1">
      <c r="A22" s="144" t="s">
        <v>462</v>
      </c>
      <c r="B22" s="145"/>
      <c r="C22" s="148">
        <f>+C21-B21</f>
        <v>1025.4422545857487</v>
      </c>
      <c r="D22" s="148">
        <f aca="true" t="shared" si="9" ref="D22:L22">+D21-C21</f>
        <v>10235.306136208</v>
      </c>
      <c r="E22" s="148">
        <f t="shared" si="9"/>
        <v>4916.0824924833105</v>
      </c>
      <c r="F22" s="148">
        <f t="shared" si="9"/>
        <v>4367.001999681532</v>
      </c>
      <c r="G22" s="148">
        <f t="shared" si="9"/>
        <v>5203.109858919219</v>
      </c>
      <c r="H22" s="148">
        <f t="shared" si="9"/>
        <v>3554.9222075554353</v>
      </c>
      <c r="I22" s="148">
        <f t="shared" si="9"/>
        <v>5236.252154799062</v>
      </c>
      <c r="J22" s="148">
        <f t="shared" si="9"/>
        <v>4380.912603785742</v>
      </c>
      <c r="K22" s="148">
        <f t="shared" si="9"/>
        <v>5294.970669375689</v>
      </c>
      <c r="L22" s="148">
        <f t="shared" si="9"/>
        <v>6731.816034352654</v>
      </c>
    </row>
    <row r="23" spans="1:12" s="68" customFormat="1" ht="19.5" customHeight="1">
      <c r="A23" s="144" t="s">
        <v>459</v>
      </c>
      <c r="B23" s="146"/>
      <c r="C23" s="147">
        <f>+C22/B21</f>
        <v>0.04801955655845606</v>
      </c>
      <c r="D23" s="147">
        <f aca="true" t="shared" si="10" ref="D23:L23">+D22/C21</f>
        <v>0.4573391561445492</v>
      </c>
      <c r="E23" s="147">
        <f t="shared" si="10"/>
        <v>0.15072874295194608</v>
      </c>
      <c r="F23" s="147">
        <f t="shared" si="10"/>
        <v>0.11635561478433726</v>
      </c>
      <c r="G23" s="147">
        <f t="shared" si="10"/>
        <v>0.12418364102619896</v>
      </c>
      <c r="H23" s="147">
        <f t="shared" si="10"/>
        <v>0.07547345538196053</v>
      </c>
      <c r="I23" s="147">
        <f t="shared" si="10"/>
        <v>0.10336773225244751</v>
      </c>
      <c r="J23" s="147">
        <f t="shared" si="10"/>
        <v>0.07838062945857599</v>
      </c>
      <c r="K23" s="147">
        <f t="shared" si="10"/>
        <v>0.08784876046847029</v>
      </c>
      <c r="L23" s="147">
        <f t="shared" si="10"/>
        <v>0.10266816437110694</v>
      </c>
    </row>
    <row r="24" spans="1:12" s="68" customFormat="1" ht="19.5" customHeight="1">
      <c r="A24" s="67" t="s">
        <v>421</v>
      </c>
      <c r="B24" s="129">
        <f aca="true" t="shared" si="11" ref="B24:L24">+(B14/B18)*10000000</f>
        <v>659960.8525445847</v>
      </c>
      <c r="C24" s="129">
        <f t="shared" si="11"/>
        <v>678075.4716981133</v>
      </c>
      <c r="D24" s="129">
        <f t="shared" si="11"/>
        <v>960289.9126290707</v>
      </c>
      <c r="E24" s="129">
        <f t="shared" si="11"/>
        <v>1081775.1034223393</v>
      </c>
      <c r="F24" s="129">
        <f t="shared" si="11"/>
        <v>1216805.8076225044</v>
      </c>
      <c r="G24" s="129">
        <f t="shared" si="11"/>
        <v>1367665.6039674103</v>
      </c>
      <c r="H24" s="129">
        <f t="shared" si="11"/>
        <v>1531165.4244962574</v>
      </c>
      <c r="I24" s="129">
        <f t="shared" si="11"/>
        <v>1695162.338983443</v>
      </c>
      <c r="J24" s="129">
        <f t="shared" si="11"/>
        <v>1896468.5512818713</v>
      </c>
      <c r="K24" s="129">
        <f t="shared" si="11"/>
        <v>2113733.1795320506</v>
      </c>
      <c r="L24" s="129">
        <f t="shared" si="11"/>
        <v>2340998.3812753516</v>
      </c>
    </row>
    <row r="25" spans="1:12" s="68" customFormat="1" ht="19.5" customHeight="1">
      <c r="A25" s="144" t="s">
        <v>463</v>
      </c>
      <c r="B25" s="145"/>
      <c r="C25" s="148">
        <f aca="true" t="shared" si="12" ref="C25:L25">+C24-B24</f>
        <v>18114.61915352859</v>
      </c>
      <c r="D25" s="148">
        <f t="shared" si="12"/>
        <v>282214.44093095744</v>
      </c>
      <c r="E25" s="148">
        <f t="shared" si="12"/>
        <v>121485.19079326862</v>
      </c>
      <c r="F25" s="148">
        <f t="shared" si="12"/>
        <v>135030.7042001651</v>
      </c>
      <c r="G25" s="148">
        <f t="shared" si="12"/>
        <v>150859.79634490586</v>
      </c>
      <c r="H25" s="148">
        <f t="shared" si="12"/>
        <v>163499.82052884717</v>
      </c>
      <c r="I25" s="148">
        <f t="shared" si="12"/>
        <v>163996.91448718566</v>
      </c>
      <c r="J25" s="148">
        <f t="shared" si="12"/>
        <v>201306.21229842817</v>
      </c>
      <c r="K25" s="148">
        <f t="shared" si="12"/>
        <v>217264.62825017935</v>
      </c>
      <c r="L25" s="148">
        <f t="shared" si="12"/>
        <v>227265.201743301</v>
      </c>
    </row>
    <row r="26" spans="1:12" s="68" customFormat="1" ht="19.5" customHeight="1">
      <c r="A26" s="144" t="s">
        <v>459</v>
      </c>
      <c r="B26" s="146"/>
      <c r="C26" s="147">
        <f aca="true" t="shared" si="13" ref="C26:L26">+C25/B24</f>
        <v>0.027448020717721025</v>
      </c>
      <c r="D26" s="147">
        <f t="shared" si="13"/>
        <v>0.41619915881075026</v>
      </c>
      <c r="E26" s="147">
        <f t="shared" si="13"/>
        <v>0.1265088690358809</v>
      </c>
      <c r="F26" s="147">
        <f t="shared" si="13"/>
        <v>0.12482326850837806</v>
      </c>
      <c r="G26" s="147">
        <f t="shared" si="13"/>
        <v>0.123980174486238</v>
      </c>
      <c r="H26" s="147">
        <f t="shared" si="13"/>
        <v>0.11954663483131887</v>
      </c>
      <c r="I26" s="147">
        <f t="shared" si="13"/>
        <v>0.10710594156809639</v>
      </c>
      <c r="J26" s="147">
        <f t="shared" si="13"/>
        <v>0.11875335339218762</v>
      </c>
      <c r="K26" s="147">
        <f t="shared" si="13"/>
        <v>0.11456273720084874</v>
      </c>
      <c r="L26" s="147">
        <f t="shared" si="13"/>
        <v>0.1075183963349689</v>
      </c>
    </row>
    <row r="27" spans="1:12" s="68" customFormat="1" ht="19.5" customHeight="1">
      <c r="A27" s="130" t="s">
        <v>422</v>
      </c>
      <c r="B27" s="130"/>
      <c r="C27" s="130"/>
      <c r="D27" s="130"/>
      <c r="E27" s="130"/>
      <c r="F27" s="130"/>
      <c r="G27" s="21"/>
      <c r="H27" s="67"/>
      <c r="I27" s="67"/>
      <c r="J27" s="67"/>
      <c r="K27" s="67"/>
      <c r="L27" s="67"/>
    </row>
    <row r="28" spans="1:12" s="68" customFormat="1" ht="19.5" customHeight="1">
      <c r="A28" s="131" t="s">
        <v>439</v>
      </c>
      <c r="B28" s="131"/>
      <c r="C28" s="131"/>
      <c r="D28" s="131"/>
      <c r="E28" s="131"/>
      <c r="F28" s="131"/>
      <c r="G28" s="128">
        <v>0.55</v>
      </c>
      <c r="H28" s="67"/>
      <c r="I28" s="67"/>
      <c r="J28" s="67"/>
      <c r="K28" s="67"/>
      <c r="L28" s="67"/>
    </row>
    <row r="29" spans="1:12" s="68" customFormat="1" ht="19.5" customHeight="1">
      <c r="A29" s="131" t="s">
        <v>424</v>
      </c>
      <c r="B29" s="131"/>
      <c r="C29" s="131"/>
      <c r="D29" s="131"/>
      <c r="E29" s="131"/>
      <c r="F29" s="131"/>
      <c r="G29" s="128">
        <v>0.45</v>
      </c>
      <c r="H29" s="67"/>
      <c r="I29" s="67"/>
      <c r="J29" s="67"/>
      <c r="K29" s="67"/>
      <c r="L29" s="67"/>
    </row>
    <row r="30" spans="1:12" s="68" customFormat="1" ht="19.5" customHeight="1">
      <c r="A30" s="67" t="s">
        <v>423</v>
      </c>
      <c r="B30" s="67"/>
      <c r="C30" s="67"/>
      <c r="D30" s="67"/>
      <c r="E30" s="67"/>
      <c r="F30" s="67"/>
      <c r="G30" s="135">
        <v>0.1253</v>
      </c>
      <c r="H30" s="67"/>
      <c r="I30" s="67"/>
      <c r="J30" s="67"/>
      <c r="K30" s="67"/>
      <c r="L30" s="67"/>
    </row>
    <row r="31" spans="1:12" s="68" customFormat="1" ht="19.5" customHeight="1">
      <c r="A31" s="67" t="s">
        <v>425</v>
      </c>
      <c r="B31" s="67"/>
      <c r="C31" s="67"/>
      <c r="D31" s="67"/>
      <c r="E31" s="67"/>
      <c r="F31" s="67"/>
      <c r="G31" s="135">
        <v>0.0823</v>
      </c>
      <c r="H31" s="67"/>
      <c r="I31" s="67"/>
      <c r="J31" s="67"/>
      <c r="K31" s="67"/>
      <c r="L31" s="67"/>
    </row>
    <row r="32" spans="1:12" s="68" customFormat="1" ht="19.5" customHeight="1">
      <c r="A32" s="67" t="s">
        <v>426</v>
      </c>
      <c r="B32" s="67"/>
      <c r="C32" s="67"/>
      <c r="D32" s="67"/>
      <c r="E32" s="67"/>
      <c r="F32" s="67"/>
      <c r="G32" s="118">
        <f>+(G28*G30)+(G29*G31)</f>
        <v>0.10595</v>
      </c>
      <c r="H32" s="118">
        <f>+G32</f>
        <v>0.10595</v>
      </c>
      <c r="I32" s="118">
        <f>+H32</f>
        <v>0.10595</v>
      </c>
      <c r="J32" s="118">
        <f>+I32</f>
        <v>0.10595</v>
      </c>
      <c r="K32" s="118">
        <f>+J32</f>
        <v>0.10595</v>
      </c>
      <c r="L32" s="118">
        <f>+K32</f>
        <v>0.10595</v>
      </c>
    </row>
    <row r="33" spans="1:12" s="68" customFormat="1" ht="19.5" customHeight="1">
      <c r="A33" s="67" t="s">
        <v>427</v>
      </c>
      <c r="B33" s="67"/>
      <c r="C33" s="67"/>
      <c r="D33" s="67"/>
      <c r="E33" s="67"/>
      <c r="F33" s="67"/>
      <c r="G33" s="67"/>
      <c r="H33" s="129">
        <f>+G21*(1+$H32)</f>
        <v>52092.03945345858</v>
      </c>
      <c r="I33" s="129">
        <f>+H33*(1+I32)</f>
        <v>57611.19103355252</v>
      </c>
      <c r="J33" s="129">
        <f>+I33*(1+J32)</f>
        <v>63715.096723557406</v>
      </c>
      <c r="K33" s="129">
        <f>+J33*(1+K32)</f>
        <v>70465.71122141831</v>
      </c>
      <c r="L33" s="129">
        <f>+K33*(1+L32)</f>
        <v>77931.55332532758</v>
      </c>
    </row>
    <row r="34" spans="1:12" s="68" customFormat="1" ht="19.5" customHeight="1">
      <c r="A34" s="67" t="s">
        <v>428</v>
      </c>
      <c r="B34" s="67"/>
      <c r="C34" s="67"/>
      <c r="D34" s="67"/>
      <c r="E34" s="67"/>
      <c r="F34" s="67"/>
      <c r="G34" s="67"/>
      <c r="H34" s="129">
        <f>+G24*(1+H32)</f>
        <v>1512569.7747077574</v>
      </c>
      <c r="I34" s="129">
        <f>+H34*(1+I32)</f>
        <v>1672826.5423380444</v>
      </c>
      <c r="J34" s="129">
        <f>+I34*(1+J32)</f>
        <v>1850062.5144987602</v>
      </c>
      <c r="K34" s="129">
        <f>+J34*(1+K32)</f>
        <v>2046076.637909904</v>
      </c>
      <c r="L34" s="129">
        <f>+K34*(1+L32)</f>
        <v>2262858.4576964583</v>
      </c>
    </row>
    <row r="35" spans="1:12" s="68" customFormat="1" ht="19.5" customHeight="1">
      <c r="A35" s="137" t="s">
        <v>419</v>
      </c>
      <c r="B35" s="137"/>
      <c r="C35" s="137"/>
      <c r="D35" s="137"/>
      <c r="E35" s="137"/>
      <c r="F35" s="137"/>
      <c r="G35" s="67"/>
      <c r="H35" s="138">
        <f>+G15+3033</f>
        <v>38163</v>
      </c>
      <c r="I35" s="138">
        <f>+H35+2118</f>
        <v>40281</v>
      </c>
      <c r="J35" s="138">
        <f>+I35+3315</f>
        <v>43596</v>
      </c>
      <c r="K35" s="138">
        <f>+J35+2839</f>
        <v>46435</v>
      </c>
      <c r="L35" s="138">
        <f>+K35+2369</f>
        <v>48804</v>
      </c>
    </row>
    <row r="36" spans="1:12" s="68" customFormat="1" ht="19.5" customHeight="1">
      <c r="A36" s="137" t="s">
        <v>438</v>
      </c>
      <c r="B36" s="137"/>
      <c r="C36" s="137"/>
      <c r="D36" s="137"/>
      <c r="E36" s="137"/>
      <c r="F36" s="137"/>
      <c r="G36" s="67"/>
      <c r="H36" s="139">
        <f>2823+123</f>
        <v>2946</v>
      </c>
      <c r="I36" s="139">
        <f>+H36+153</f>
        <v>3099</v>
      </c>
      <c r="J36" s="139">
        <f>+I36+134</f>
        <v>3233</v>
      </c>
      <c r="K36" s="139">
        <f>+J36+128</f>
        <v>3361</v>
      </c>
      <c r="L36" s="139">
        <f>+K36+156</f>
        <v>3517</v>
      </c>
    </row>
    <row r="37" spans="1:12" s="68" customFormat="1" ht="24.75" customHeight="1" thickBot="1">
      <c r="A37" s="123" t="s">
        <v>429</v>
      </c>
      <c r="B37" s="123"/>
      <c r="C37" s="123"/>
      <c r="D37" s="123"/>
      <c r="E37" s="123"/>
      <c r="F37" s="123"/>
      <c r="G37" s="123"/>
      <c r="H37" s="126">
        <f>+((H33*H35)+(H34*H36))/10000000</f>
        <v>644.4019057951393</v>
      </c>
      <c r="I37" s="126">
        <f>+((I33*I35)+(I34*I36))/10000000</f>
        <v>750.4725840728129</v>
      </c>
      <c r="J37" s="126">
        <f>+((J33*J35)+(J34*J36))/10000000</f>
        <v>875.8975466134701</v>
      </c>
      <c r="K37" s="126">
        <f>+((K33*K35)+(K34*K36))/10000000</f>
        <v>1014.8938880581748</v>
      </c>
      <c r="L37" s="126">
        <f>+((L33*L35)+(L34*L36))/10000000</f>
        <v>1176.184472420773</v>
      </c>
    </row>
    <row r="38" ht="13.5" thickTop="1"/>
    <row r="40" spans="8:13" ht="12.75">
      <c r="H40" s="20">
        <f>+H35-G15</f>
        <v>3033</v>
      </c>
      <c r="I40" s="140">
        <f aca="true" t="shared" si="14" ref="I40:L41">+I35-H35</f>
        <v>2118</v>
      </c>
      <c r="J40" s="140">
        <f t="shared" si="14"/>
        <v>3315</v>
      </c>
      <c r="K40" s="140">
        <f t="shared" si="14"/>
        <v>2839</v>
      </c>
      <c r="L40" s="140">
        <f t="shared" si="14"/>
        <v>2369</v>
      </c>
      <c r="M40" s="20">
        <f>SUM(H40:L40)</f>
        <v>13674</v>
      </c>
    </row>
    <row r="41" spans="8:13" ht="12.75">
      <c r="H41" s="20">
        <f>+H36-G18</f>
        <v>123</v>
      </c>
      <c r="I41">
        <f t="shared" si="14"/>
        <v>153</v>
      </c>
      <c r="J41">
        <f t="shared" si="14"/>
        <v>134</v>
      </c>
      <c r="K41">
        <f t="shared" si="14"/>
        <v>128</v>
      </c>
      <c r="L41">
        <f t="shared" si="14"/>
        <v>156</v>
      </c>
      <c r="M41" s="20">
        <f>SUM(H41:L41)</f>
        <v>694</v>
      </c>
    </row>
    <row r="42" ht="12.75">
      <c r="H42" s="20">
        <v>3000</v>
      </c>
    </row>
  </sheetData>
  <sheetProtection/>
  <mergeCells count="2">
    <mergeCell ref="A1:L1"/>
    <mergeCell ref="A2:L2"/>
  </mergeCells>
  <printOptions horizontalCentered="1"/>
  <pageMargins left="0.3" right="0.46" top="0.62" bottom="0.73" header="0.31" footer="0.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K192"/>
  <sheetViews>
    <sheetView zoomScalePageLayoutView="0" workbookViewId="0" topLeftCell="A193">
      <selection activeCell="H15" sqref="H15"/>
    </sheetView>
  </sheetViews>
  <sheetFormatPr defaultColWidth="9.140625" defaultRowHeight="12.75"/>
  <cols>
    <col min="1" max="1" width="28.8515625" style="0" customWidth="1"/>
    <col min="2" max="3" width="13.8515625" style="0" customWidth="1"/>
    <col min="4" max="4" width="11.140625" style="0" bestFit="1" customWidth="1"/>
    <col min="5" max="5" width="11.28125" style="0" bestFit="1" customWidth="1"/>
    <col min="6" max="6" width="13.7109375" style="0" customWidth="1"/>
    <col min="7" max="7" width="10.57421875" style="0" customWidth="1"/>
    <col min="8" max="8" width="12.28125" style="0" customWidth="1"/>
    <col min="9" max="9" width="13.57421875" style="0" customWidth="1"/>
    <col min="10" max="10" width="13.8515625" style="0" customWidth="1"/>
    <col min="11" max="11" width="8.8515625" style="0" bestFit="1" customWidth="1"/>
  </cols>
  <sheetData>
    <row r="1" ht="12.75">
      <c r="A1" s="27" t="s">
        <v>109</v>
      </c>
    </row>
    <row r="2" ht="12.75">
      <c r="A2" s="28" t="s">
        <v>110</v>
      </c>
    </row>
    <row r="3" ht="12.75">
      <c r="A3" s="27"/>
    </row>
    <row r="4" spans="1:8" ht="12.75">
      <c r="A4" s="266" t="s">
        <v>645</v>
      </c>
      <c r="H4" t="s">
        <v>375</v>
      </c>
    </row>
    <row r="5" spans="1:11" ht="12.75">
      <c r="A5" s="426" t="s">
        <v>80</v>
      </c>
      <c r="B5" s="424" t="s">
        <v>112</v>
      </c>
      <c r="C5" s="424" t="s">
        <v>113</v>
      </c>
      <c r="D5" s="427" t="s">
        <v>104</v>
      </c>
      <c r="E5" s="427"/>
      <c r="F5" s="427"/>
      <c r="G5" s="427"/>
      <c r="H5" s="424" t="s">
        <v>114</v>
      </c>
      <c r="I5" s="424" t="s">
        <v>115</v>
      </c>
      <c r="J5" s="424" t="s">
        <v>116</v>
      </c>
      <c r="K5" s="424" t="s">
        <v>107</v>
      </c>
    </row>
    <row r="6" spans="1:11" ht="48">
      <c r="A6" s="426"/>
      <c r="B6" s="425"/>
      <c r="C6" s="425"/>
      <c r="D6" s="264" t="s">
        <v>117</v>
      </c>
      <c r="E6" s="265" t="s">
        <v>118</v>
      </c>
      <c r="F6" s="265" t="s">
        <v>119</v>
      </c>
      <c r="G6" s="265" t="s">
        <v>102</v>
      </c>
      <c r="H6" s="425"/>
      <c r="I6" s="425"/>
      <c r="J6" s="425"/>
      <c r="K6" s="425"/>
    </row>
    <row r="7" spans="1:11" ht="12.75">
      <c r="A7" s="29" t="s">
        <v>81</v>
      </c>
      <c r="B7" s="13">
        <v>0</v>
      </c>
      <c r="C7" s="7"/>
      <c r="D7" s="7"/>
      <c r="E7" s="40"/>
      <c r="F7" s="7"/>
      <c r="G7" s="13">
        <f>+E7+F7</f>
        <v>0</v>
      </c>
      <c r="H7" s="7"/>
      <c r="I7" s="13">
        <f>+G7+H7</f>
        <v>0</v>
      </c>
      <c r="J7" s="7"/>
      <c r="K7" s="7"/>
    </row>
    <row r="8" spans="1:11" ht="12.75">
      <c r="A8" s="24" t="s">
        <v>82</v>
      </c>
      <c r="B8" s="13">
        <v>33.36</v>
      </c>
      <c r="C8" s="7"/>
      <c r="D8" s="7"/>
      <c r="E8" s="40">
        <v>2.24</v>
      </c>
      <c r="F8" s="7"/>
      <c r="G8" s="13">
        <f>+E8+F8</f>
        <v>2.24</v>
      </c>
      <c r="H8" s="7"/>
      <c r="I8" s="13">
        <f>+B8+C8+G8+H8</f>
        <v>35.6</v>
      </c>
      <c r="J8" s="7"/>
      <c r="K8" s="7"/>
    </row>
    <row r="9" spans="1:11" ht="12.75">
      <c r="A9" s="22" t="s">
        <v>83</v>
      </c>
      <c r="B9" s="13">
        <v>0.57</v>
      </c>
      <c r="C9" s="7"/>
      <c r="D9" s="7"/>
      <c r="E9" s="40">
        <v>2.32</v>
      </c>
      <c r="F9" s="7"/>
      <c r="G9" s="13">
        <f aca="true" t="shared" si="0" ref="G9:G31">+E9+F9</f>
        <v>2.32</v>
      </c>
      <c r="H9" s="7"/>
      <c r="I9" s="13">
        <f aca="true" t="shared" si="1" ref="I9:I31">+B9+C9+G9+H9</f>
        <v>2.8899999999999997</v>
      </c>
      <c r="J9" s="7"/>
      <c r="K9" s="7"/>
    </row>
    <row r="10" spans="1:11" ht="12.75">
      <c r="A10" s="22" t="s">
        <v>84</v>
      </c>
      <c r="B10" s="13">
        <v>0</v>
      </c>
      <c r="C10" s="7"/>
      <c r="D10" s="7"/>
      <c r="E10" s="40"/>
      <c r="F10" s="7"/>
      <c r="G10" s="13">
        <f t="shared" si="0"/>
        <v>0</v>
      </c>
      <c r="H10" s="7"/>
      <c r="I10" s="13">
        <f t="shared" si="1"/>
        <v>0</v>
      </c>
      <c r="J10" s="7"/>
      <c r="K10" s="7"/>
    </row>
    <row r="11" spans="1:11" ht="12.75">
      <c r="A11" s="22" t="s">
        <v>85</v>
      </c>
      <c r="B11" s="13">
        <v>4.62</v>
      </c>
      <c r="C11" s="7"/>
      <c r="D11" s="7"/>
      <c r="E11" s="40">
        <v>0.9</v>
      </c>
      <c r="F11" s="7"/>
      <c r="G11" s="13">
        <f t="shared" si="0"/>
        <v>0.9</v>
      </c>
      <c r="H11" s="7"/>
      <c r="I11" s="13">
        <f t="shared" si="1"/>
        <v>5.5200000000000005</v>
      </c>
      <c r="J11" s="7"/>
      <c r="K11" s="7"/>
    </row>
    <row r="12" spans="1:11" ht="12.75">
      <c r="A12" s="19" t="s">
        <v>86</v>
      </c>
      <c r="B12" s="13">
        <v>1835.9400000000003</v>
      </c>
      <c r="C12" s="13"/>
      <c r="D12" s="13"/>
      <c r="E12" s="40">
        <v>226.44</v>
      </c>
      <c r="F12" s="13"/>
      <c r="G12" s="13">
        <f t="shared" si="0"/>
        <v>226.44</v>
      </c>
      <c r="H12" s="13"/>
      <c r="I12" s="13">
        <f t="shared" si="1"/>
        <v>2062.38</v>
      </c>
      <c r="J12" s="13"/>
      <c r="K12" s="13"/>
    </row>
    <row r="13" spans="1:11" ht="12.75">
      <c r="A13" s="25" t="s">
        <v>87</v>
      </c>
      <c r="B13" s="13">
        <v>0</v>
      </c>
      <c r="C13" s="7"/>
      <c r="D13" s="7"/>
      <c r="E13" s="40"/>
      <c r="F13" s="7"/>
      <c r="G13" s="13">
        <f t="shared" si="0"/>
        <v>0</v>
      </c>
      <c r="H13" s="7"/>
      <c r="I13" s="13">
        <f t="shared" si="1"/>
        <v>0</v>
      </c>
      <c r="J13" s="7"/>
      <c r="K13" s="7"/>
    </row>
    <row r="14" spans="1:11" ht="12.75">
      <c r="A14" s="25" t="s">
        <v>88</v>
      </c>
      <c r="B14" s="13">
        <v>0</v>
      </c>
      <c r="C14" s="7"/>
      <c r="D14" s="7"/>
      <c r="E14" s="40"/>
      <c r="F14" s="7"/>
      <c r="G14" s="13">
        <f t="shared" si="0"/>
        <v>0</v>
      </c>
      <c r="H14" s="7"/>
      <c r="I14" s="13">
        <f t="shared" si="1"/>
        <v>0</v>
      </c>
      <c r="J14" s="7"/>
      <c r="K14" s="7"/>
    </row>
    <row r="15" spans="1:11" ht="12.75">
      <c r="A15" s="25" t="s">
        <v>89</v>
      </c>
      <c r="B15" s="13">
        <v>0</v>
      </c>
      <c r="C15" s="7"/>
      <c r="D15" s="7"/>
      <c r="E15" s="40"/>
      <c r="F15" s="7"/>
      <c r="G15" s="13">
        <f t="shared" si="0"/>
        <v>0</v>
      </c>
      <c r="H15" s="7"/>
      <c r="I15" s="13">
        <f t="shared" si="1"/>
        <v>0</v>
      </c>
      <c r="J15" s="7"/>
      <c r="K15" s="7"/>
    </row>
    <row r="16" spans="1:11" ht="12.75">
      <c r="A16" s="25"/>
      <c r="B16" s="13">
        <v>0</v>
      </c>
      <c r="C16" s="7"/>
      <c r="D16" s="7"/>
      <c r="E16" s="40"/>
      <c r="F16" s="7"/>
      <c r="G16" s="13">
        <f t="shared" si="0"/>
        <v>0</v>
      </c>
      <c r="H16" s="7"/>
      <c r="I16" s="13">
        <f t="shared" si="1"/>
        <v>0</v>
      </c>
      <c r="J16" s="7"/>
      <c r="K16" s="7"/>
    </row>
    <row r="17" spans="1:11" ht="12.75">
      <c r="A17" s="25" t="s">
        <v>90</v>
      </c>
      <c r="B17" s="13">
        <v>0</v>
      </c>
      <c r="C17" s="7"/>
      <c r="D17" s="7"/>
      <c r="E17" s="40"/>
      <c r="F17" s="7"/>
      <c r="G17" s="13">
        <f t="shared" si="0"/>
        <v>0</v>
      </c>
      <c r="H17" s="7"/>
      <c r="I17" s="13">
        <f t="shared" si="1"/>
        <v>0</v>
      </c>
      <c r="J17" s="7"/>
      <c r="K17" s="7"/>
    </row>
    <row r="18" spans="1:11" ht="12.75">
      <c r="A18" s="25" t="s">
        <v>91</v>
      </c>
      <c r="B18" s="13">
        <v>0</v>
      </c>
      <c r="C18" s="7"/>
      <c r="D18" s="7"/>
      <c r="E18" s="40"/>
      <c r="F18" s="7"/>
      <c r="G18" s="13">
        <f t="shared" si="0"/>
        <v>0</v>
      </c>
      <c r="H18" s="7"/>
      <c r="I18" s="13">
        <f t="shared" si="1"/>
        <v>0</v>
      </c>
      <c r="J18" s="7"/>
      <c r="K18" s="7"/>
    </row>
    <row r="19" spans="1:11" ht="12.75">
      <c r="A19" s="25" t="s">
        <v>92</v>
      </c>
      <c r="B19" s="13">
        <v>0</v>
      </c>
      <c r="C19" s="7"/>
      <c r="D19" s="7"/>
      <c r="E19" s="40"/>
      <c r="F19" s="7"/>
      <c r="G19" s="13">
        <f t="shared" si="0"/>
        <v>0</v>
      </c>
      <c r="H19" s="7"/>
      <c r="I19" s="13">
        <f t="shared" si="1"/>
        <v>0</v>
      </c>
      <c r="J19" s="7"/>
      <c r="K19" s="7"/>
    </row>
    <row r="20" spans="1:11" ht="12.75">
      <c r="A20" s="25" t="s">
        <v>69</v>
      </c>
      <c r="B20" s="13">
        <v>0</v>
      </c>
      <c r="C20" s="7"/>
      <c r="D20" s="7"/>
      <c r="E20" s="40"/>
      <c r="F20" s="7"/>
      <c r="G20" s="13">
        <f t="shared" si="0"/>
        <v>0</v>
      </c>
      <c r="H20" s="7"/>
      <c r="I20" s="13">
        <f t="shared" si="1"/>
        <v>0</v>
      </c>
      <c r="J20" s="7"/>
      <c r="K20" s="7"/>
    </row>
    <row r="21" spans="1:11" ht="12.75">
      <c r="A21" s="19" t="s">
        <v>93</v>
      </c>
      <c r="B21" s="13">
        <v>1745.8000000000004</v>
      </c>
      <c r="C21" s="13"/>
      <c r="D21" s="13"/>
      <c r="E21" s="40">
        <v>304.87</v>
      </c>
      <c r="F21" s="13"/>
      <c r="G21" s="13">
        <f t="shared" si="0"/>
        <v>304.87</v>
      </c>
      <c r="H21" s="13"/>
      <c r="I21" s="13">
        <f t="shared" si="1"/>
        <v>2050.6700000000005</v>
      </c>
      <c r="J21" s="13"/>
      <c r="K21" s="7"/>
    </row>
    <row r="22" spans="1:11" ht="12.75">
      <c r="A22" s="18" t="s">
        <v>94</v>
      </c>
      <c r="B22" s="13">
        <v>0</v>
      </c>
      <c r="C22" s="7"/>
      <c r="D22" s="7"/>
      <c r="E22" s="40"/>
      <c r="F22" s="7"/>
      <c r="G22" s="13">
        <f t="shared" si="0"/>
        <v>0</v>
      </c>
      <c r="H22" s="7"/>
      <c r="I22" s="13">
        <f t="shared" si="1"/>
        <v>0</v>
      </c>
      <c r="J22" s="7"/>
      <c r="K22" s="7"/>
    </row>
    <row r="23" spans="1:11" ht="12.75">
      <c r="A23" s="18" t="s">
        <v>95</v>
      </c>
      <c r="B23" s="13">
        <v>0</v>
      </c>
      <c r="C23" s="7"/>
      <c r="D23" s="7"/>
      <c r="E23" s="40"/>
      <c r="F23" s="7"/>
      <c r="G23" s="13">
        <f t="shared" si="0"/>
        <v>0</v>
      </c>
      <c r="H23" s="7"/>
      <c r="I23" s="13">
        <f t="shared" si="1"/>
        <v>0</v>
      </c>
      <c r="J23" s="7"/>
      <c r="K23" s="7"/>
    </row>
    <row r="24" spans="1:11" ht="12.75">
      <c r="A24" s="25" t="s">
        <v>96</v>
      </c>
      <c r="B24" s="13">
        <v>0</v>
      </c>
      <c r="C24" s="7"/>
      <c r="D24" s="7"/>
      <c r="E24" s="40"/>
      <c r="F24" s="7"/>
      <c r="G24" s="13">
        <f t="shared" si="0"/>
        <v>0</v>
      </c>
      <c r="H24" s="7"/>
      <c r="I24" s="13">
        <f t="shared" si="1"/>
        <v>0</v>
      </c>
      <c r="J24" s="7"/>
      <c r="K24" s="7"/>
    </row>
    <row r="25" spans="1:11" ht="12.75">
      <c r="A25" s="25" t="s">
        <v>69</v>
      </c>
      <c r="B25" s="13">
        <v>0</v>
      </c>
      <c r="C25" s="7"/>
      <c r="D25" s="7"/>
      <c r="E25" s="40"/>
      <c r="F25" s="7"/>
      <c r="G25" s="13">
        <f t="shared" si="0"/>
        <v>0</v>
      </c>
      <c r="H25" s="7"/>
      <c r="I25" s="13">
        <f t="shared" si="1"/>
        <v>0</v>
      </c>
      <c r="J25" s="7"/>
      <c r="K25" s="7"/>
    </row>
    <row r="26" spans="1:11" ht="12.75">
      <c r="A26" s="26" t="s">
        <v>97</v>
      </c>
      <c r="B26" s="13">
        <v>2.5199999999999996</v>
      </c>
      <c r="C26" s="7"/>
      <c r="D26" s="7"/>
      <c r="E26" s="40"/>
      <c r="F26" s="7"/>
      <c r="G26" s="13">
        <f t="shared" si="0"/>
        <v>0</v>
      </c>
      <c r="H26" s="7"/>
      <c r="I26" s="13">
        <f t="shared" si="1"/>
        <v>2.5199999999999996</v>
      </c>
      <c r="J26" s="7"/>
      <c r="K26" s="7"/>
    </row>
    <row r="27" spans="1:11" ht="12.75">
      <c r="A27" s="26" t="s">
        <v>98</v>
      </c>
      <c r="B27" s="13">
        <v>1.7800000000000002</v>
      </c>
      <c r="C27" s="7"/>
      <c r="D27" s="7"/>
      <c r="E27" s="40">
        <v>0.33</v>
      </c>
      <c r="F27" s="7"/>
      <c r="G27" s="13">
        <f t="shared" si="0"/>
        <v>0.33</v>
      </c>
      <c r="H27" s="7"/>
      <c r="I27" s="13">
        <f t="shared" si="1"/>
        <v>2.1100000000000003</v>
      </c>
      <c r="J27" s="7"/>
      <c r="K27" s="7"/>
    </row>
    <row r="28" spans="1:11" ht="12.75">
      <c r="A28" s="26" t="s">
        <v>99</v>
      </c>
      <c r="B28" s="13">
        <v>21.130000000000006</v>
      </c>
      <c r="C28" s="7"/>
      <c r="D28" s="7"/>
      <c r="E28" s="40">
        <v>3.75</v>
      </c>
      <c r="F28" s="7"/>
      <c r="G28" s="13">
        <f t="shared" si="0"/>
        <v>3.75</v>
      </c>
      <c r="H28" s="7"/>
      <c r="I28" s="13">
        <f t="shared" si="1"/>
        <v>24.880000000000006</v>
      </c>
      <c r="J28" s="7"/>
      <c r="K28" s="7"/>
    </row>
    <row r="29" spans="1:11" ht="12.75">
      <c r="A29" s="26" t="s">
        <v>100</v>
      </c>
      <c r="B29" s="13">
        <v>0</v>
      </c>
      <c r="C29" s="7"/>
      <c r="D29" s="7"/>
      <c r="E29" s="40"/>
      <c r="F29" s="7"/>
      <c r="G29" s="13">
        <f t="shared" si="0"/>
        <v>0</v>
      </c>
      <c r="H29" s="7"/>
      <c r="I29" s="13">
        <f t="shared" si="1"/>
        <v>0</v>
      </c>
      <c r="J29" s="7"/>
      <c r="K29" s="7"/>
    </row>
    <row r="30" spans="1:11" ht="12.75">
      <c r="A30" s="26" t="s">
        <v>69</v>
      </c>
      <c r="B30" s="13">
        <v>0</v>
      </c>
      <c r="C30" s="7"/>
      <c r="D30" s="7"/>
      <c r="E30" s="40"/>
      <c r="F30" s="7"/>
      <c r="G30" s="13">
        <f t="shared" si="0"/>
        <v>0</v>
      </c>
      <c r="H30" s="7"/>
      <c r="I30" s="13">
        <f t="shared" si="1"/>
        <v>0</v>
      </c>
      <c r="J30" s="7"/>
      <c r="K30" s="7"/>
    </row>
    <row r="31" spans="1:11" ht="12.75">
      <c r="A31" s="26" t="s">
        <v>101</v>
      </c>
      <c r="B31" s="13">
        <v>0</v>
      </c>
      <c r="C31" s="7"/>
      <c r="D31" s="7"/>
      <c r="E31" s="40"/>
      <c r="F31" s="7"/>
      <c r="G31" s="13">
        <f t="shared" si="0"/>
        <v>0</v>
      </c>
      <c r="H31" s="7"/>
      <c r="I31" s="13">
        <f t="shared" si="1"/>
        <v>0</v>
      </c>
      <c r="J31" s="7"/>
      <c r="K31" s="7"/>
    </row>
    <row r="32" spans="1:11" ht="19.5" customHeight="1">
      <c r="A32" s="261" t="s">
        <v>111</v>
      </c>
      <c r="B32" s="267">
        <f>SUM(B7:B31)</f>
        <v>3645.720000000001</v>
      </c>
      <c r="C32" s="267">
        <f>+C7+C8+C9+C10+C11+C12+C21+C26+C27+C28+C29+C30+C31</f>
        <v>0</v>
      </c>
      <c r="D32" s="267"/>
      <c r="E32" s="267">
        <f>SUM(E7:E31)</f>
        <v>540.85</v>
      </c>
      <c r="F32" s="267">
        <f>+F7+F8+F9+F10+F11+F12+F21+F26+F27+F28+F29+F30+F31</f>
        <v>0</v>
      </c>
      <c r="G32" s="267">
        <f>+G7+G8+G9+G10+G11+G12+G21+G26+G27+G28+G29+G30+G31</f>
        <v>540.85</v>
      </c>
      <c r="H32" s="267">
        <f>+H7+H8+H9+H10+H11+H12+H21+H26+H27+H28+H29+H30+H31</f>
        <v>0</v>
      </c>
      <c r="I32" s="267">
        <f>+I7+I8+I9+I10+I11+I12+I21+I26+I27+I28+I29+I30+I31</f>
        <v>4186.5700000000015</v>
      </c>
      <c r="J32" s="267">
        <f>+J7+J8+J9+J10+J11+J12+J21+J26+J27+J28+J29+J30+J31</f>
        <v>0</v>
      </c>
      <c r="K32" s="257"/>
    </row>
    <row r="36" spans="1:8" ht="12.75">
      <c r="A36" s="266" t="s">
        <v>476</v>
      </c>
      <c r="H36" t="s">
        <v>375</v>
      </c>
    </row>
    <row r="37" spans="1:11" ht="12.75">
      <c r="A37" s="426" t="s">
        <v>80</v>
      </c>
      <c r="B37" s="424" t="s">
        <v>112</v>
      </c>
      <c r="C37" s="424" t="s">
        <v>113</v>
      </c>
      <c r="D37" s="427" t="s">
        <v>104</v>
      </c>
      <c r="E37" s="427"/>
      <c r="F37" s="427"/>
      <c r="G37" s="427"/>
      <c r="H37" s="424" t="s">
        <v>114</v>
      </c>
      <c r="I37" s="424" t="s">
        <v>115</v>
      </c>
      <c r="J37" s="424" t="s">
        <v>116</v>
      </c>
      <c r="K37" s="424" t="s">
        <v>107</v>
      </c>
    </row>
    <row r="38" spans="1:11" ht="48">
      <c r="A38" s="426"/>
      <c r="B38" s="425"/>
      <c r="C38" s="425"/>
      <c r="D38" s="264" t="s">
        <v>117</v>
      </c>
      <c r="E38" s="265" t="s">
        <v>118</v>
      </c>
      <c r="F38" s="265" t="s">
        <v>119</v>
      </c>
      <c r="G38" s="265" t="s">
        <v>102</v>
      </c>
      <c r="H38" s="425"/>
      <c r="I38" s="425"/>
      <c r="J38" s="425"/>
      <c r="K38" s="425"/>
    </row>
    <row r="39" spans="1:11" ht="12.75">
      <c r="A39" s="29" t="s">
        <v>81</v>
      </c>
      <c r="B39" s="13">
        <f aca="true" t="shared" si="2" ref="B39:B63">+I7</f>
        <v>0</v>
      </c>
      <c r="C39" s="7"/>
      <c r="D39" s="7"/>
      <c r="E39" s="13"/>
      <c r="F39" s="7"/>
      <c r="G39" s="13">
        <f>+E39+F39</f>
        <v>0</v>
      </c>
      <c r="H39" s="7"/>
      <c r="I39" s="13">
        <f>+G39+H39</f>
        <v>0</v>
      </c>
      <c r="J39" s="7"/>
      <c r="K39" s="7"/>
    </row>
    <row r="40" spans="1:11" ht="12.75">
      <c r="A40" s="24" t="s">
        <v>82</v>
      </c>
      <c r="B40" s="13">
        <f t="shared" si="2"/>
        <v>35.6</v>
      </c>
      <c r="C40" s="7"/>
      <c r="D40" s="7"/>
      <c r="E40" s="13">
        <v>2.85</v>
      </c>
      <c r="F40" s="7"/>
      <c r="G40" s="13">
        <f>+E40+F40</f>
        <v>2.85</v>
      </c>
      <c r="H40" s="7"/>
      <c r="I40" s="13">
        <f>+B40+C40+G40+H40</f>
        <v>38.45</v>
      </c>
      <c r="J40" s="7"/>
      <c r="K40" s="7"/>
    </row>
    <row r="41" spans="1:11" ht="12.75">
      <c r="A41" s="22" t="s">
        <v>83</v>
      </c>
      <c r="B41" s="13">
        <f t="shared" si="2"/>
        <v>2.8899999999999997</v>
      </c>
      <c r="C41" s="7"/>
      <c r="D41" s="7"/>
      <c r="E41" s="13">
        <v>2.32</v>
      </c>
      <c r="F41" s="7"/>
      <c r="G41" s="13">
        <f aca="true" t="shared" si="3" ref="G41:G63">+E41+F41</f>
        <v>2.32</v>
      </c>
      <c r="H41" s="7"/>
      <c r="I41" s="13">
        <f aca="true" t="shared" si="4" ref="I41:I63">+B41+C41+G41+H41</f>
        <v>5.209999999999999</v>
      </c>
      <c r="J41" s="7"/>
      <c r="K41" s="7"/>
    </row>
    <row r="42" spans="1:11" ht="12.75">
      <c r="A42" s="22" t="s">
        <v>84</v>
      </c>
      <c r="B42" s="13">
        <f t="shared" si="2"/>
        <v>0</v>
      </c>
      <c r="C42" s="7"/>
      <c r="D42" s="7"/>
      <c r="E42" s="13"/>
      <c r="F42" s="7"/>
      <c r="G42" s="13">
        <f t="shared" si="3"/>
        <v>0</v>
      </c>
      <c r="H42" s="7"/>
      <c r="I42" s="13">
        <f t="shared" si="4"/>
        <v>0</v>
      </c>
      <c r="J42" s="7"/>
      <c r="K42" s="7"/>
    </row>
    <row r="43" spans="1:11" ht="12.75">
      <c r="A43" s="22" t="s">
        <v>85</v>
      </c>
      <c r="B43" s="13">
        <f t="shared" si="2"/>
        <v>5.5200000000000005</v>
      </c>
      <c r="C43" s="7"/>
      <c r="D43" s="7"/>
      <c r="E43" s="13">
        <v>0.93</v>
      </c>
      <c r="F43" s="7"/>
      <c r="G43" s="13">
        <f t="shared" si="3"/>
        <v>0.93</v>
      </c>
      <c r="H43" s="7"/>
      <c r="I43" s="13">
        <f t="shared" si="4"/>
        <v>6.45</v>
      </c>
      <c r="J43" s="7"/>
      <c r="K43" s="7"/>
    </row>
    <row r="44" spans="1:11" ht="12.75">
      <c r="A44" s="19" t="s">
        <v>86</v>
      </c>
      <c r="B44" s="13">
        <f t="shared" si="2"/>
        <v>2062.38</v>
      </c>
      <c r="C44" s="13"/>
      <c r="D44" s="13"/>
      <c r="E44" s="13">
        <v>264.67</v>
      </c>
      <c r="F44" s="13"/>
      <c r="G44" s="13">
        <f t="shared" si="3"/>
        <v>264.67</v>
      </c>
      <c r="H44" s="13"/>
      <c r="I44" s="13">
        <f t="shared" si="4"/>
        <v>2327.05</v>
      </c>
      <c r="J44" s="13"/>
      <c r="K44" s="13"/>
    </row>
    <row r="45" spans="1:11" ht="12.75">
      <c r="A45" s="25" t="s">
        <v>87</v>
      </c>
      <c r="B45" s="13">
        <f t="shared" si="2"/>
        <v>0</v>
      </c>
      <c r="C45" s="7"/>
      <c r="D45" s="7"/>
      <c r="E45" s="13"/>
      <c r="F45" s="7"/>
      <c r="G45" s="13">
        <f t="shared" si="3"/>
        <v>0</v>
      </c>
      <c r="H45" s="7"/>
      <c r="I45" s="13">
        <f t="shared" si="4"/>
        <v>0</v>
      </c>
      <c r="J45" s="7"/>
      <c r="K45" s="7"/>
    </row>
    <row r="46" spans="1:11" ht="12.75">
      <c r="A46" s="25" t="s">
        <v>88</v>
      </c>
      <c r="B46" s="13">
        <f t="shared" si="2"/>
        <v>0</v>
      </c>
      <c r="C46" s="7"/>
      <c r="D46" s="7"/>
      <c r="E46" s="13"/>
      <c r="F46" s="7"/>
      <c r="G46" s="13">
        <f t="shared" si="3"/>
        <v>0</v>
      </c>
      <c r="H46" s="7"/>
      <c r="I46" s="13">
        <f t="shared" si="4"/>
        <v>0</v>
      </c>
      <c r="J46" s="7"/>
      <c r="K46" s="7"/>
    </row>
    <row r="47" spans="1:11" ht="12.75">
      <c r="A47" s="25" t="s">
        <v>89</v>
      </c>
      <c r="B47" s="13">
        <f t="shared" si="2"/>
        <v>0</v>
      </c>
      <c r="C47" s="7"/>
      <c r="D47" s="7"/>
      <c r="E47" s="13"/>
      <c r="F47" s="7"/>
      <c r="G47" s="13">
        <f t="shared" si="3"/>
        <v>0</v>
      </c>
      <c r="H47" s="7"/>
      <c r="I47" s="13">
        <f t="shared" si="4"/>
        <v>0</v>
      </c>
      <c r="J47" s="7"/>
      <c r="K47" s="7"/>
    </row>
    <row r="48" spans="1:11" ht="12.75">
      <c r="A48" s="25"/>
      <c r="B48" s="13">
        <f t="shared" si="2"/>
        <v>0</v>
      </c>
      <c r="C48" s="7"/>
      <c r="D48" s="7"/>
      <c r="E48" s="13"/>
      <c r="F48" s="7"/>
      <c r="G48" s="13">
        <f t="shared" si="3"/>
        <v>0</v>
      </c>
      <c r="H48" s="7"/>
      <c r="I48" s="13">
        <f t="shared" si="4"/>
        <v>0</v>
      </c>
      <c r="J48" s="7"/>
      <c r="K48" s="7"/>
    </row>
    <row r="49" spans="1:11" ht="12.75">
      <c r="A49" s="25" t="s">
        <v>90</v>
      </c>
      <c r="B49" s="13">
        <f t="shared" si="2"/>
        <v>0</v>
      </c>
      <c r="C49" s="7"/>
      <c r="D49" s="7"/>
      <c r="E49" s="13"/>
      <c r="F49" s="7"/>
      <c r="G49" s="13">
        <f t="shared" si="3"/>
        <v>0</v>
      </c>
      <c r="H49" s="7"/>
      <c r="I49" s="13">
        <f t="shared" si="4"/>
        <v>0</v>
      </c>
      <c r="J49" s="7"/>
      <c r="K49" s="7"/>
    </row>
    <row r="50" spans="1:11" ht="12.75">
      <c r="A50" s="25" t="s">
        <v>91</v>
      </c>
      <c r="B50" s="13">
        <f t="shared" si="2"/>
        <v>0</v>
      </c>
      <c r="C50" s="7"/>
      <c r="D50" s="7"/>
      <c r="E50" s="13"/>
      <c r="F50" s="7"/>
      <c r="G50" s="13">
        <f t="shared" si="3"/>
        <v>0</v>
      </c>
      <c r="H50" s="7"/>
      <c r="I50" s="13">
        <f t="shared" si="4"/>
        <v>0</v>
      </c>
      <c r="J50" s="7"/>
      <c r="K50" s="7"/>
    </row>
    <row r="51" spans="1:11" ht="12.75">
      <c r="A51" s="25" t="s">
        <v>92</v>
      </c>
      <c r="B51" s="13">
        <f t="shared" si="2"/>
        <v>0</v>
      </c>
      <c r="C51" s="7"/>
      <c r="D51" s="7"/>
      <c r="E51" s="13"/>
      <c r="F51" s="7"/>
      <c r="G51" s="13">
        <f t="shared" si="3"/>
        <v>0</v>
      </c>
      <c r="H51" s="7"/>
      <c r="I51" s="13">
        <f t="shared" si="4"/>
        <v>0</v>
      </c>
      <c r="J51" s="7"/>
      <c r="K51" s="7"/>
    </row>
    <row r="52" spans="1:11" ht="12.75">
      <c r="A52" s="25" t="s">
        <v>69</v>
      </c>
      <c r="B52" s="13">
        <f t="shared" si="2"/>
        <v>0</v>
      </c>
      <c r="C52" s="7"/>
      <c r="D52" s="7"/>
      <c r="E52" s="13"/>
      <c r="F52" s="7"/>
      <c r="G52" s="13">
        <f t="shared" si="3"/>
        <v>0</v>
      </c>
      <c r="H52" s="7"/>
      <c r="I52" s="13">
        <f t="shared" si="4"/>
        <v>0</v>
      </c>
      <c r="J52" s="7"/>
      <c r="K52" s="7"/>
    </row>
    <row r="53" spans="1:11" ht="12.75">
      <c r="A53" s="19" t="s">
        <v>93</v>
      </c>
      <c r="B53" s="13">
        <f t="shared" si="2"/>
        <v>2050.6700000000005</v>
      </c>
      <c r="C53" s="13"/>
      <c r="D53" s="13"/>
      <c r="E53" s="13">
        <v>323.94</v>
      </c>
      <c r="F53" s="13"/>
      <c r="G53" s="13">
        <f t="shared" si="3"/>
        <v>323.94</v>
      </c>
      <c r="H53" s="13"/>
      <c r="I53" s="13">
        <f t="shared" si="4"/>
        <v>2374.6100000000006</v>
      </c>
      <c r="J53" s="13"/>
      <c r="K53" s="7"/>
    </row>
    <row r="54" spans="1:11" ht="12.75">
      <c r="A54" s="18" t="s">
        <v>94</v>
      </c>
      <c r="B54" s="13">
        <f t="shared" si="2"/>
        <v>0</v>
      </c>
      <c r="C54" s="7"/>
      <c r="D54" s="7"/>
      <c r="E54" s="13"/>
      <c r="F54" s="7"/>
      <c r="G54" s="13">
        <f t="shared" si="3"/>
        <v>0</v>
      </c>
      <c r="H54" s="7"/>
      <c r="I54" s="13">
        <f t="shared" si="4"/>
        <v>0</v>
      </c>
      <c r="J54" s="7"/>
      <c r="K54" s="7"/>
    </row>
    <row r="55" spans="1:11" ht="12.75">
      <c r="A55" s="18" t="s">
        <v>95</v>
      </c>
      <c r="B55" s="13">
        <f t="shared" si="2"/>
        <v>0</v>
      </c>
      <c r="C55" s="7"/>
      <c r="D55" s="7"/>
      <c r="E55" s="13"/>
      <c r="F55" s="7"/>
      <c r="G55" s="13">
        <f t="shared" si="3"/>
        <v>0</v>
      </c>
      <c r="H55" s="7"/>
      <c r="I55" s="13">
        <f t="shared" si="4"/>
        <v>0</v>
      </c>
      <c r="J55" s="7"/>
      <c r="K55" s="7"/>
    </row>
    <row r="56" spans="1:11" ht="12.75">
      <c r="A56" s="25" t="s">
        <v>96</v>
      </c>
      <c r="B56" s="13">
        <f t="shared" si="2"/>
        <v>0</v>
      </c>
      <c r="C56" s="7"/>
      <c r="D56" s="7"/>
      <c r="E56" s="13"/>
      <c r="F56" s="7"/>
      <c r="G56" s="13">
        <f t="shared" si="3"/>
        <v>0</v>
      </c>
      <c r="H56" s="7"/>
      <c r="I56" s="13">
        <f t="shared" si="4"/>
        <v>0</v>
      </c>
      <c r="J56" s="7"/>
      <c r="K56" s="7"/>
    </row>
    <row r="57" spans="1:11" ht="12.75">
      <c r="A57" s="25" t="s">
        <v>69</v>
      </c>
      <c r="B57" s="13">
        <f t="shared" si="2"/>
        <v>0</v>
      </c>
      <c r="C57" s="7"/>
      <c r="D57" s="7"/>
      <c r="E57" s="13"/>
      <c r="F57" s="7"/>
      <c r="G57" s="13">
        <f t="shared" si="3"/>
        <v>0</v>
      </c>
      <c r="H57" s="7"/>
      <c r="I57" s="13">
        <f t="shared" si="4"/>
        <v>0</v>
      </c>
      <c r="J57" s="7"/>
      <c r="K57" s="7"/>
    </row>
    <row r="58" spans="1:11" ht="12.75">
      <c r="A58" s="26" t="s">
        <v>97</v>
      </c>
      <c r="B58" s="13">
        <f t="shared" si="2"/>
        <v>2.5199999999999996</v>
      </c>
      <c r="C58" s="7"/>
      <c r="D58" s="7"/>
      <c r="E58" s="13"/>
      <c r="F58" s="7"/>
      <c r="G58" s="13">
        <f t="shared" si="3"/>
        <v>0</v>
      </c>
      <c r="H58" s="7"/>
      <c r="I58" s="13">
        <f t="shared" si="4"/>
        <v>2.5199999999999996</v>
      </c>
      <c r="J58" s="7"/>
      <c r="K58" s="7"/>
    </row>
    <row r="59" spans="1:11" ht="12.75">
      <c r="A59" s="26" t="s">
        <v>98</v>
      </c>
      <c r="B59" s="13">
        <f t="shared" si="2"/>
        <v>2.1100000000000003</v>
      </c>
      <c r="C59" s="7"/>
      <c r="D59" s="7"/>
      <c r="E59" s="13">
        <v>0.39</v>
      </c>
      <c r="F59" s="7"/>
      <c r="G59" s="13">
        <f t="shared" si="3"/>
        <v>0.39</v>
      </c>
      <c r="H59" s="7"/>
      <c r="I59" s="13">
        <f t="shared" si="4"/>
        <v>2.5000000000000004</v>
      </c>
      <c r="J59" s="7"/>
      <c r="K59" s="7"/>
    </row>
    <row r="60" spans="1:11" ht="12.75">
      <c r="A60" s="26" t="s">
        <v>99</v>
      </c>
      <c r="B60" s="13">
        <f t="shared" si="2"/>
        <v>24.880000000000006</v>
      </c>
      <c r="C60" s="7"/>
      <c r="D60" s="7"/>
      <c r="E60" s="13">
        <v>4.35</v>
      </c>
      <c r="F60" s="7"/>
      <c r="G60" s="13">
        <f t="shared" si="3"/>
        <v>4.35</v>
      </c>
      <c r="H60" s="7"/>
      <c r="I60" s="13">
        <f t="shared" si="4"/>
        <v>29.230000000000004</v>
      </c>
      <c r="J60" s="7"/>
      <c r="K60" s="7"/>
    </row>
    <row r="61" spans="1:11" ht="12.75">
      <c r="A61" s="26" t="s">
        <v>100</v>
      </c>
      <c r="B61" s="13">
        <f t="shared" si="2"/>
        <v>0</v>
      </c>
      <c r="C61" s="7"/>
      <c r="D61" s="7"/>
      <c r="E61" s="13"/>
      <c r="F61" s="7"/>
      <c r="G61" s="13">
        <f t="shared" si="3"/>
        <v>0</v>
      </c>
      <c r="H61" s="7"/>
      <c r="I61" s="13">
        <f t="shared" si="4"/>
        <v>0</v>
      </c>
      <c r="J61" s="7"/>
      <c r="K61" s="7"/>
    </row>
    <row r="62" spans="1:11" ht="12.75">
      <c r="A62" s="26" t="s">
        <v>69</v>
      </c>
      <c r="B62" s="13">
        <f t="shared" si="2"/>
        <v>0</v>
      </c>
      <c r="C62" s="7"/>
      <c r="D62" s="7"/>
      <c r="E62" s="13"/>
      <c r="F62" s="7"/>
      <c r="G62" s="13">
        <f t="shared" si="3"/>
        <v>0</v>
      </c>
      <c r="H62" s="7"/>
      <c r="I62" s="13">
        <f t="shared" si="4"/>
        <v>0</v>
      </c>
      <c r="J62" s="7"/>
      <c r="K62" s="7"/>
    </row>
    <row r="63" spans="1:11" ht="12.75">
      <c r="A63" s="26" t="s">
        <v>101</v>
      </c>
      <c r="B63" s="13">
        <f t="shared" si="2"/>
        <v>0</v>
      </c>
      <c r="C63" s="7"/>
      <c r="D63" s="7"/>
      <c r="E63" s="13"/>
      <c r="F63" s="7"/>
      <c r="G63" s="13">
        <f t="shared" si="3"/>
        <v>0</v>
      </c>
      <c r="H63" s="7"/>
      <c r="I63" s="13">
        <f t="shared" si="4"/>
        <v>0</v>
      </c>
      <c r="J63" s="7"/>
      <c r="K63" s="7"/>
    </row>
    <row r="64" spans="1:11" ht="19.5" customHeight="1">
      <c r="A64" s="261" t="s">
        <v>111</v>
      </c>
      <c r="B64" s="267">
        <f>SUM(B39:B63)</f>
        <v>4186.5700000000015</v>
      </c>
      <c r="C64" s="267">
        <f>+C39+C40+C41+C42+C43+C44+C53+C58+C59+C60+C61+C62+C63</f>
        <v>0</v>
      </c>
      <c r="D64" s="267"/>
      <c r="E64" s="267">
        <f aca="true" t="shared" si="5" ref="E64:J64">+E39+E40+E41+E42+E43+E44+E53+E58+E59+E60+E61+E62+E63</f>
        <v>599.45</v>
      </c>
      <c r="F64" s="267">
        <f t="shared" si="5"/>
        <v>0</v>
      </c>
      <c r="G64" s="267">
        <f t="shared" si="5"/>
        <v>599.45</v>
      </c>
      <c r="H64" s="267">
        <f t="shared" si="5"/>
        <v>0</v>
      </c>
      <c r="I64" s="267">
        <f t="shared" si="5"/>
        <v>4786.02</v>
      </c>
      <c r="J64" s="267">
        <f t="shared" si="5"/>
        <v>0</v>
      </c>
      <c r="K64" s="257"/>
    </row>
    <row r="68" spans="1:8" ht="12.75">
      <c r="A68" s="266" t="s">
        <v>477</v>
      </c>
      <c r="H68" t="s">
        <v>375</v>
      </c>
    </row>
    <row r="69" spans="1:11" ht="12.75">
      <c r="A69" s="426" t="s">
        <v>80</v>
      </c>
      <c r="B69" s="424" t="s">
        <v>112</v>
      </c>
      <c r="C69" s="424" t="s">
        <v>113</v>
      </c>
      <c r="D69" s="427" t="s">
        <v>104</v>
      </c>
      <c r="E69" s="427"/>
      <c r="F69" s="427"/>
      <c r="G69" s="427"/>
      <c r="H69" s="424" t="s">
        <v>114</v>
      </c>
      <c r="I69" s="424" t="s">
        <v>115</v>
      </c>
      <c r="J69" s="424" t="s">
        <v>116</v>
      </c>
      <c r="K69" s="424" t="s">
        <v>107</v>
      </c>
    </row>
    <row r="70" spans="1:11" ht="48">
      <c r="A70" s="426"/>
      <c r="B70" s="425"/>
      <c r="C70" s="425"/>
      <c r="D70" s="264" t="s">
        <v>117</v>
      </c>
      <c r="E70" s="265" t="s">
        <v>118</v>
      </c>
      <c r="F70" s="265" t="s">
        <v>119</v>
      </c>
      <c r="G70" s="265" t="s">
        <v>102</v>
      </c>
      <c r="H70" s="425"/>
      <c r="I70" s="425"/>
      <c r="J70" s="425"/>
      <c r="K70" s="425"/>
    </row>
    <row r="71" spans="1:11" ht="12.75">
      <c r="A71" s="29" t="s">
        <v>81</v>
      </c>
      <c r="B71" s="13">
        <f aca="true" t="shared" si="6" ref="B71:B95">+I39</f>
        <v>0</v>
      </c>
      <c r="C71" s="7"/>
      <c r="D71" s="7"/>
      <c r="E71" s="13"/>
      <c r="F71" s="7"/>
      <c r="G71" s="13">
        <f>+E71+F71</f>
        <v>0</v>
      </c>
      <c r="H71" s="7"/>
      <c r="I71" s="13">
        <f>+G71+H71</f>
        <v>0</v>
      </c>
      <c r="J71" s="7"/>
      <c r="K71" s="7"/>
    </row>
    <row r="72" spans="1:11" ht="12.75">
      <c r="A72" s="24" t="s">
        <v>82</v>
      </c>
      <c r="B72" s="13">
        <f t="shared" si="6"/>
        <v>38.45</v>
      </c>
      <c r="C72" s="7"/>
      <c r="D72" s="7"/>
      <c r="E72" s="13">
        <v>3.63</v>
      </c>
      <c r="F72" s="7"/>
      <c r="G72" s="13">
        <f>+E72+F72</f>
        <v>3.63</v>
      </c>
      <c r="H72" s="7"/>
      <c r="I72" s="13">
        <f>+B72+C72+G72+H72</f>
        <v>42.080000000000005</v>
      </c>
      <c r="J72" s="7"/>
      <c r="K72" s="7"/>
    </row>
    <row r="73" spans="1:11" ht="12.75">
      <c r="A73" s="22" t="s">
        <v>83</v>
      </c>
      <c r="B73" s="13">
        <f t="shared" si="6"/>
        <v>5.209999999999999</v>
      </c>
      <c r="C73" s="7"/>
      <c r="D73" s="7"/>
      <c r="E73" s="13">
        <v>2.23</v>
      </c>
      <c r="F73" s="7"/>
      <c r="G73" s="13">
        <f aca="true" t="shared" si="7" ref="G73:G95">+E73+F73</f>
        <v>2.23</v>
      </c>
      <c r="H73" s="7"/>
      <c r="I73" s="13">
        <f aca="true" t="shared" si="8" ref="I73:I95">+B73+C73+G73+H73</f>
        <v>7.4399999999999995</v>
      </c>
      <c r="J73" s="7"/>
      <c r="K73" s="7"/>
    </row>
    <row r="74" spans="1:11" ht="12.75">
      <c r="A74" s="22" t="s">
        <v>84</v>
      </c>
      <c r="B74" s="13">
        <f t="shared" si="6"/>
        <v>0</v>
      </c>
      <c r="C74" s="7"/>
      <c r="D74" s="7"/>
      <c r="E74" s="13">
        <v>0</v>
      </c>
      <c r="F74" s="7"/>
      <c r="G74" s="13">
        <f t="shared" si="7"/>
        <v>0</v>
      </c>
      <c r="H74" s="7"/>
      <c r="I74" s="13">
        <f t="shared" si="8"/>
        <v>0</v>
      </c>
      <c r="J74" s="7"/>
      <c r="K74" s="7"/>
    </row>
    <row r="75" spans="1:11" ht="12.75">
      <c r="A75" s="22" t="s">
        <v>85</v>
      </c>
      <c r="B75" s="13">
        <f t="shared" si="6"/>
        <v>6.45</v>
      </c>
      <c r="C75" s="7"/>
      <c r="D75" s="7"/>
      <c r="E75" s="13">
        <v>0.96</v>
      </c>
      <c r="F75" s="7"/>
      <c r="G75" s="13">
        <f t="shared" si="7"/>
        <v>0.96</v>
      </c>
      <c r="H75" s="7"/>
      <c r="I75" s="13">
        <f t="shared" si="8"/>
        <v>7.41</v>
      </c>
      <c r="J75" s="7"/>
      <c r="K75" s="7"/>
    </row>
    <row r="76" spans="1:11" ht="12.75">
      <c r="A76" s="19" t="s">
        <v>86</v>
      </c>
      <c r="B76" s="13">
        <f t="shared" si="6"/>
        <v>2327.05</v>
      </c>
      <c r="C76" s="13"/>
      <c r="D76" s="13"/>
      <c r="E76" s="13">
        <v>315.73</v>
      </c>
      <c r="F76" s="13"/>
      <c r="G76" s="13">
        <f t="shared" si="7"/>
        <v>315.73</v>
      </c>
      <c r="H76" s="13"/>
      <c r="I76" s="13">
        <f t="shared" si="8"/>
        <v>2642.78</v>
      </c>
      <c r="J76" s="13"/>
      <c r="K76" s="13"/>
    </row>
    <row r="77" spans="1:11" ht="12.75">
      <c r="A77" s="25" t="s">
        <v>87</v>
      </c>
      <c r="B77" s="13">
        <f t="shared" si="6"/>
        <v>0</v>
      </c>
      <c r="C77" s="7"/>
      <c r="D77" s="7"/>
      <c r="E77" s="13"/>
      <c r="F77" s="7"/>
      <c r="G77" s="13">
        <f t="shared" si="7"/>
        <v>0</v>
      </c>
      <c r="H77" s="7"/>
      <c r="I77" s="13">
        <f t="shared" si="8"/>
        <v>0</v>
      </c>
      <c r="J77" s="7"/>
      <c r="K77" s="7"/>
    </row>
    <row r="78" spans="1:11" ht="12.75">
      <c r="A78" s="25" t="s">
        <v>88</v>
      </c>
      <c r="B78" s="13">
        <f t="shared" si="6"/>
        <v>0</v>
      </c>
      <c r="C78" s="7"/>
      <c r="D78" s="7"/>
      <c r="E78" s="13"/>
      <c r="F78" s="7"/>
      <c r="G78" s="13">
        <f t="shared" si="7"/>
        <v>0</v>
      </c>
      <c r="H78" s="7"/>
      <c r="I78" s="13">
        <f t="shared" si="8"/>
        <v>0</v>
      </c>
      <c r="J78" s="7"/>
      <c r="K78" s="7"/>
    </row>
    <row r="79" spans="1:11" ht="12.75">
      <c r="A79" s="25" t="s">
        <v>89</v>
      </c>
      <c r="B79" s="13">
        <f t="shared" si="6"/>
        <v>0</v>
      </c>
      <c r="C79" s="7"/>
      <c r="D79" s="7"/>
      <c r="E79" s="13"/>
      <c r="F79" s="7"/>
      <c r="G79" s="13">
        <f t="shared" si="7"/>
        <v>0</v>
      </c>
      <c r="H79" s="7"/>
      <c r="I79" s="13">
        <f t="shared" si="8"/>
        <v>0</v>
      </c>
      <c r="J79" s="7"/>
      <c r="K79" s="7"/>
    </row>
    <row r="80" spans="1:11" ht="12.75">
      <c r="A80" s="25"/>
      <c r="B80" s="13">
        <f t="shared" si="6"/>
        <v>0</v>
      </c>
      <c r="C80" s="7"/>
      <c r="D80" s="7"/>
      <c r="E80" s="13"/>
      <c r="F80" s="7"/>
      <c r="G80" s="13">
        <f t="shared" si="7"/>
        <v>0</v>
      </c>
      <c r="H80" s="7"/>
      <c r="I80" s="13">
        <f t="shared" si="8"/>
        <v>0</v>
      </c>
      <c r="J80" s="7"/>
      <c r="K80" s="7"/>
    </row>
    <row r="81" spans="1:11" ht="12.75">
      <c r="A81" s="25" t="s">
        <v>90</v>
      </c>
      <c r="B81" s="13">
        <f t="shared" si="6"/>
        <v>0</v>
      </c>
      <c r="C81" s="7"/>
      <c r="D81" s="7"/>
      <c r="E81" s="13"/>
      <c r="F81" s="7"/>
      <c r="G81" s="13">
        <f t="shared" si="7"/>
        <v>0</v>
      </c>
      <c r="H81" s="7"/>
      <c r="I81" s="13">
        <f t="shared" si="8"/>
        <v>0</v>
      </c>
      <c r="J81" s="7"/>
      <c r="K81" s="7"/>
    </row>
    <row r="82" spans="1:11" ht="12.75">
      <c r="A82" s="25" t="s">
        <v>91</v>
      </c>
      <c r="B82" s="13">
        <f t="shared" si="6"/>
        <v>0</v>
      </c>
      <c r="C82" s="7"/>
      <c r="D82" s="7"/>
      <c r="E82" s="13"/>
      <c r="F82" s="7"/>
      <c r="G82" s="13">
        <f t="shared" si="7"/>
        <v>0</v>
      </c>
      <c r="H82" s="7"/>
      <c r="I82" s="13">
        <f t="shared" si="8"/>
        <v>0</v>
      </c>
      <c r="J82" s="7"/>
      <c r="K82" s="7"/>
    </row>
    <row r="83" spans="1:11" ht="12.75">
      <c r="A83" s="25" t="s">
        <v>92</v>
      </c>
      <c r="B83" s="13">
        <f t="shared" si="6"/>
        <v>0</v>
      </c>
      <c r="C83" s="7"/>
      <c r="D83" s="7"/>
      <c r="E83" s="13"/>
      <c r="F83" s="7"/>
      <c r="G83" s="13">
        <f t="shared" si="7"/>
        <v>0</v>
      </c>
      <c r="H83" s="7"/>
      <c r="I83" s="13">
        <f t="shared" si="8"/>
        <v>0</v>
      </c>
      <c r="J83" s="7"/>
      <c r="K83" s="7"/>
    </row>
    <row r="84" spans="1:11" ht="12.75">
      <c r="A84" s="25" t="s">
        <v>69</v>
      </c>
      <c r="B84" s="13">
        <f t="shared" si="6"/>
        <v>0</v>
      </c>
      <c r="C84" s="7"/>
      <c r="D84" s="7"/>
      <c r="E84" s="13"/>
      <c r="F84" s="7"/>
      <c r="G84" s="13">
        <f t="shared" si="7"/>
        <v>0</v>
      </c>
      <c r="H84" s="7"/>
      <c r="I84" s="13">
        <f t="shared" si="8"/>
        <v>0</v>
      </c>
      <c r="J84" s="7"/>
      <c r="K84" s="7"/>
    </row>
    <row r="85" spans="1:11" ht="12.75">
      <c r="A85" s="19" t="s">
        <v>93</v>
      </c>
      <c r="B85" s="13">
        <f t="shared" si="6"/>
        <v>2374.6100000000006</v>
      </c>
      <c r="C85" s="13"/>
      <c r="D85" s="13"/>
      <c r="E85" s="13">
        <v>345.88</v>
      </c>
      <c r="F85" s="13"/>
      <c r="G85" s="13">
        <f t="shared" si="7"/>
        <v>345.88</v>
      </c>
      <c r="H85" s="13"/>
      <c r="I85" s="13">
        <f t="shared" si="8"/>
        <v>2720.4900000000007</v>
      </c>
      <c r="J85" s="13"/>
      <c r="K85" s="7"/>
    </row>
    <row r="86" spans="1:11" ht="12.75">
      <c r="A86" s="18" t="s">
        <v>94</v>
      </c>
      <c r="B86" s="13">
        <f t="shared" si="6"/>
        <v>0</v>
      </c>
      <c r="C86" s="7"/>
      <c r="D86" s="7"/>
      <c r="E86" s="13"/>
      <c r="F86" s="7"/>
      <c r="G86" s="13">
        <f t="shared" si="7"/>
        <v>0</v>
      </c>
      <c r="H86" s="7"/>
      <c r="I86" s="13">
        <f t="shared" si="8"/>
        <v>0</v>
      </c>
      <c r="J86" s="7"/>
      <c r="K86" s="7"/>
    </row>
    <row r="87" spans="1:11" ht="12.75">
      <c r="A87" s="18" t="s">
        <v>95</v>
      </c>
      <c r="B87" s="13">
        <f t="shared" si="6"/>
        <v>0</v>
      </c>
      <c r="C87" s="7"/>
      <c r="D87" s="7"/>
      <c r="E87" s="13"/>
      <c r="F87" s="7"/>
      <c r="G87" s="13">
        <f t="shared" si="7"/>
        <v>0</v>
      </c>
      <c r="H87" s="7"/>
      <c r="I87" s="13">
        <f t="shared" si="8"/>
        <v>0</v>
      </c>
      <c r="J87" s="7"/>
      <c r="K87" s="7"/>
    </row>
    <row r="88" spans="1:11" ht="12.75">
      <c r="A88" s="25" t="s">
        <v>96</v>
      </c>
      <c r="B88" s="13">
        <f t="shared" si="6"/>
        <v>0</v>
      </c>
      <c r="C88" s="7"/>
      <c r="D88" s="7"/>
      <c r="E88" s="13"/>
      <c r="F88" s="7"/>
      <c r="G88" s="13">
        <f t="shared" si="7"/>
        <v>0</v>
      </c>
      <c r="H88" s="7"/>
      <c r="I88" s="13">
        <f t="shared" si="8"/>
        <v>0</v>
      </c>
      <c r="J88" s="7"/>
      <c r="K88" s="7"/>
    </row>
    <row r="89" spans="1:11" ht="12.75">
      <c r="A89" s="25" t="s">
        <v>69</v>
      </c>
      <c r="B89" s="13">
        <f t="shared" si="6"/>
        <v>0</v>
      </c>
      <c r="C89" s="7"/>
      <c r="D89" s="7"/>
      <c r="E89" s="13"/>
      <c r="F89" s="7"/>
      <c r="G89" s="13">
        <f t="shared" si="7"/>
        <v>0</v>
      </c>
      <c r="H89" s="7"/>
      <c r="I89" s="13">
        <f t="shared" si="8"/>
        <v>0</v>
      </c>
      <c r="J89" s="7"/>
      <c r="K89" s="7"/>
    </row>
    <row r="90" spans="1:11" ht="12.75">
      <c r="A90" s="26" t="s">
        <v>97</v>
      </c>
      <c r="B90" s="13">
        <f t="shared" si="6"/>
        <v>2.5199999999999996</v>
      </c>
      <c r="C90" s="7"/>
      <c r="D90" s="7"/>
      <c r="E90" s="13"/>
      <c r="F90" s="7"/>
      <c r="G90" s="13">
        <f t="shared" si="7"/>
        <v>0</v>
      </c>
      <c r="H90" s="7"/>
      <c r="I90" s="13">
        <f t="shared" si="8"/>
        <v>2.5199999999999996</v>
      </c>
      <c r="J90" s="7"/>
      <c r="K90" s="7"/>
    </row>
    <row r="91" spans="1:11" ht="12.75">
      <c r="A91" s="26" t="s">
        <v>98</v>
      </c>
      <c r="B91" s="13">
        <f t="shared" si="6"/>
        <v>2.5000000000000004</v>
      </c>
      <c r="C91" s="7"/>
      <c r="D91" s="7"/>
      <c r="E91" s="13">
        <v>0.47</v>
      </c>
      <c r="F91" s="7"/>
      <c r="G91" s="13">
        <f t="shared" si="7"/>
        <v>0.47</v>
      </c>
      <c r="H91" s="7"/>
      <c r="I91" s="13">
        <f t="shared" si="8"/>
        <v>2.9700000000000006</v>
      </c>
      <c r="J91" s="7"/>
      <c r="K91" s="7"/>
    </row>
    <row r="92" spans="1:11" ht="12.75">
      <c r="A92" s="26" t="s">
        <v>99</v>
      </c>
      <c r="B92" s="13">
        <f t="shared" si="6"/>
        <v>29.230000000000004</v>
      </c>
      <c r="C92" s="7"/>
      <c r="D92" s="7"/>
      <c r="E92" s="13">
        <v>5.12</v>
      </c>
      <c r="F92" s="7"/>
      <c r="G92" s="13">
        <f t="shared" si="7"/>
        <v>5.12</v>
      </c>
      <c r="H92" s="7"/>
      <c r="I92" s="13">
        <f t="shared" si="8"/>
        <v>34.35</v>
      </c>
      <c r="J92" s="7"/>
      <c r="K92" s="7"/>
    </row>
    <row r="93" spans="1:11" ht="12.75">
      <c r="A93" s="26" t="s">
        <v>100</v>
      </c>
      <c r="B93" s="13">
        <f t="shared" si="6"/>
        <v>0</v>
      </c>
      <c r="C93" s="7"/>
      <c r="D93" s="7"/>
      <c r="E93" s="13"/>
      <c r="F93" s="7"/>
      <c r="G93" s="13">
        <f t="shared" si="7"/>
        <v>0</v>
      </c>
      <c r="H93" s="7"/>
      <c r="I93" s="13">
        <f t="shared" si="8"/>
        <v>0</v>
      </c>
      <c r="J93" s="7"/>
      <c r="K93" s="7"/>
    </row>
    <row r="94" spans="1:11" ht="12.75">
      <c r="A94" s="26" t="s">
        <v>69</v>
      </c>
      <c r="B94" s="13">
        <f t="shared" si="6"/>
        <v>0</v>
      </c>
      <c r="C94" s="7"/>
      <c r="D94" s="7"/>
      <c r="E94" s="13"/>
      <c r="F94" s="7"/>
      <c r="G94" s="13">
        <f t="shared" si="7"/>
        <v>0</v>
      </c>
      <c r="H94" s="7"/>
      <c r="I94" s="13">
        <f t="shared" si="8"/>
        <v>0</v>
      </c>
      <c r="J94" s="7"/>
      <c r="K94" s="7"/>
    </row>
    <row r="95" spans="1:11" ht="12.75">
      <c r="A95" s="26" t="s">
        <v>101</v>
      </c>
      <c r="B95" s="13">
        <f t="shared" si="6"/>
        <v>0</v>
      </c>
      <c r="C95" s="7"/>
      <c r="D95" s="7"/>
      <c r="E95" s="13"/>
      <c r="F95" s="7"/>
      <c r="G95" s="13">
        <f t="shared" si="7"/>
        <v>0</v>
      </c>
      <c r="H95" s="7"/>
      <c r="I95" s="13">
        <f t="shared" si="8"/>
        <v>0</v>
      </c>
      <c r="J95" s="7"/>
      <c r="K95" s="7"/>
    </row>
    <row r="96" spans="1:11" ht="19.5" customHeight="1">
      <c r="A96" s="261" t="s">
        <v>111</v>
      </c>
      <c r="B96" s="267">
        <f>SUM(B71:B95)</f>
        <v>4786.02</v>
      </c>
      <c r="C96" s="267">
        <f>+C71+C72+C73+C74+C75+C76+C85+C90+C91+C92+C93+C94+C95</f>
        <v>0</v>
      </c>
      <c r="D96" s="267"/>
      <c r="E96" s="267">
        <f>SUM(E71:E95)</f>
        <v>674.0200000000001</v>
      </c>
      <c r="F96" s="267">
        <f>+F71+F72+F73+F74+F75+F76+F85+F90+F91+F92+F93+F94+F95</f>
        <v>0</v>
      </c>
      <c r="G96" s="267">
        <f>+G71+G72+G73+G74+G75+G76+G85+G90+G91+G92+G93+G94+G95</f>
        <v>674.0200000000001</v>
      </c>
      <c r="H96" s="267">
        <f>+H71+H72+H73+H74+H75+H76+H85+H90+H91+H92+H93+H94+H95</f>
        <v>0</v>
      </c>
      <c r="I96" s="267">
        <f>+I71+I72+I73+I74+I75+I76+I85+I90+I91+I92+I93+I94+I95</f>
        <v>5460.040000000002</v>
      </c>
      <c r="J96" s="267">
        <f>+J71+J72+J73+J74+J75+J76+J85+J90+J91+J92+J93+J94+J95</f>
        <v>0</v>
      </c>
      <c r="K96" s="257"/>
    </row>
    <row r="100" spans="1:8" ht="12.75">
      <c r="A100" s="266" t="s">
        <v>478</v>
      </c>
      <c r="H100" t="s">
        <v>375</v>
      </c>
    </row>
    <row r="101" spans="1:11" ht="12.75">
      <c r="A101" s="426" t="s">
        <v>80</v>
      </c>
      <c r="B101" s="424" t="s">
        <v>112</v>
      </c>
      <c r="C101" s="424" t="s">
        <v>113</v>
      </c>
      <c r="D101" s="427" t="s">
        <v>104</v>
      </c>
      <c r="E101" s="427"/>
      <c r="F101" s="427"/>
      <c r="G101" s="427"/>
      <c r="H101" s="424" t="s">
        <v>114</v>
      </c>
      <c r="I101" s="424" t="s">
        <v>115</v>
      </c>
      <c r="J101" s="424" t="s">
        <v>116</v>
      </c>
      <c r="K101" s="424" t="s">
        <v>107</v>
      </c>
    </row>
    <row r="102" spans="1:11" ht="48">
      <c r="A102" s="426"/>
      <c r="B102" s="425"/>
      <c r="C102" s="425"/>
      <c r="D102" s="264" t="s">
        <v>117</v>
      </c>
      <c r="E102" s="265" t="s">
        <v>118</v>
      </c>
      <c r="F102" s="265" t="s">
        <v>119</v>
      </c>
      <c r="G102" s="265" t="s">
        <v>102</v>
      </c>
      <c r="H102" s="425"/>
      <c r="I102" s="425"/>
      <c r="J102" s="425"/>
      <c r="K102" s="425"/>
    </row>
    <row r="103" spans="1:11" ht="12.75">
      <c r="A103" s="29" t="s">
        <v>81</v>
      </c>
      <c r="B103" s="13">
        <f aca="true" t="shared" si="9" ref="B103:B127">+I71</f>
        <v>0</v>
      </c>
      <c r="C103" s="7"/>
      <c r="D103" s="7"/>
      <c r="E103" s="13"/>
      <c r="F103" s="7"/>
      <c r="G103" s="13">
        <f>+E103+F103</f>
        <v>0</v>
      </c>
      <c r="H103" s="7"/>
      <c r="I103" s="13">
        <f>+G103+H103</f>
        <v>0</v>
      </c>
      <c r="J103" s="7"/>
      <c r="K103" s="7"/>
    </row>
    <row r="104" spans="1:11" ht="12.75">
      <c r="A104" s="24" t="s">
        <v>82</v>
      </c>
      <c r="B104" s="13">
        <f t="shared" si="9"/>
        <v>42.080000000000005</v>
      </c>
      <c r="C104" s="7"/>
      <c r="D104" s="7"/>
      <c r="E104" s="13">
        <v>5.11</v>
      </c>
      <c r="F104" s="7"/>
      <c r="G104" s="13">
        <f>+E104+F104</f>
        <v>5.11</v>
      </c>
      <c r="H104" s="7"/>
      <c r="I104" s="13">
        <f>+B104+C104+G104+H104</f>
        <v>47.190000000000005</v>
      </c>
      <c r="J104" s="7"/>
      <c r="K104" s="7"/>
    </row>
    <row r="105" spans="1:11" ht="12.75">
      <c r="A105" s="22" t="s">
        <v>83</v>
      </c>
      <c r="B105" s="13">
        <f t="shared" si="9"/>
        <v>7.4399999999999995</v>
      </c>
      <c r="C105" s="7"/>
      <c r="D105" s="7"/>
      <c r="E105" s="13">
        <v>2.17</v>
      </c>
      <c r="F105" s="7"/>
      <c r="G105" s="13">
        <f aca="true" t="shared" si="10" ref="G105:G127">+E105+F105</f>
        <v>2.17</v>
      </c>
      <c r="H105" s="7"/>
      <c r="I105" s="13">
        <f aca="true" t="shared" si="11" ref="I105:I127">+B105+C105+G105+H105</f>
        <v>9.61</v>
      </c>
      <c r="J105" s="7"/>
      <c r="K105" s="7"/>
    </row>
    <row r="106" spans="1:11" ht="12.75">
      <c r="A106" s="22" t="s">
        <v>84</v>
      </c>
      <c r="B106" s="13">
        <f t="shared" si="9"/>
        <v>0</v>
      </c>
      <c r="C106" s="7"/>
      <c r="D106" s="7"/>
      <c r="E106" s="13">
        <v>0</v>
      </c>
      <c r="F106" s="7"/>
      <c r="G106" s="13">
        <f t="shared" si="10"/>
        <v>0</v>
      </c>
      <c r="H106" s="7"/>
      <c r="I106" s="13">
        <f t="shared" si="11"/>
        <v>0</v>
      </c>
      <c r="J106" s="7"/>
      <c r="K106" s="7"/>
    </row>
    <row r="107" spans="1:11" ht="12.75">
      <c r="A107" s="22" t="s">
        <v>85</v>
      </c>
      <c r="B107" s="13">
        <f t="shared" si="9"/>
        <v>7.41</v>
      </c>
      <c r="C107" s="7"/>
      <c r="D107" s="7"/>
      <c r="E107" s="13">
        <v>1.05</v>
      </c>
      <c r="F107" s="7"/>
      <c r="G107" s="13">
        <f t="shared" si="10"/>
        <v>1.05</v>
      </c>
      <c r="H107" s="7"/>
      <c r="I107" s="13">
        <f t="shared" si="11"/>
        <v>8.46</v>
      </c>
      <c r="J107" s="7"/>
      <c r="K107" s="7"/>
    </row>
    <row r="108" spans="1:11" ht="12.75">
      <c r="A108" s="19" t="s">
        <v>86</v>
      </c>
      <c r="B108" s="13">
        <f t="shared" si="9"/>
        <v>2642.78</v>
      </c>
      <c r="C108" s="13"/>
      <c r="D108" s="13"/>
      <c r="E108" s="13">
        <v>415.89</v>
      </c>
      <c r="F108" s="13"/>
      <c r="G108" s="13">
        <f t="shared" si="10"/>
        <v>415.89</v>
      </c>
      <c r="H108" s="13"/>
      <c r="I108" s="13">
        <f t="shared" si="11"/>
        <v>3058.67</v>
      </c>
      <c r="J108" s="13"/>
      <c r="K108" s="13"/>
    </row>
    <row r="109" spans="1:11" ht="12.75">
      <c r="A109" s="25" t="s">
        <v>87</v>
      </c>
      <c r="B109" s="13">
        <f t="shared" si="9"/>
        <v>0</v>
      </c>
      <c r="C109" s="7"/>
      <c r="D109" s="7"/>
      <c r="E109" s="13"/>
      <c r="F109" s="7"/>
      <c r="G109" s="13">
        <f t="shared" si="10"/>
        <v>0</v>
      </c>
      <c r="H109" s="7"/>
      <c r="I109" s="13">
        <f t="shared" si="11"/>
        <v>0</v>
      </c>
      <c r="J109" s="7"/>
      <c r="K109" s="7"/>
    </row>
    <row r="110" spans="1:11" ht="12.75">
      <c r="A110" s="25" t="s">
        <v>88</v>
      </c>
      <c r="B110" s="13">
        <f t="shared" si="9"/>
        <v>0</v>
      </c>
      <c r="C110" s="7"/>
      <c r="D110" s="7"/>
      <c r="E110" s="13"/>
      <c r="F110" s="7"/>
      <c r="G110" s="13">
        <f t="shared" si="10"/>
        <v>0</v>
      </c>
      <c r="H110" s="7"/>
      <c r="I110" s="13">
        <f t="shared" si="11"/>
        <v>0</v>
      </c>
      <c r="J110" s="7"/>
      <c r="K110" s="7"/>
    </row>
    <row r="111" spans="1:11" ht="12.75">
      <c r="A111" s="25" t="s">
        <v>89</v>
      </c>
      <c r="B111" s="13">
        <f t="shared" si="9"/>
        <v>0</v>
      </c>
      <c r="C111" s="7"/>
      <c r="D111" s="7"/>
      <c r="E111" s="13"/>
      <c r="F111" s="7"/>
      <c r="G111" s="13">
        <f t="shared" si="10"/>
        <v>0</v>
      </c>
      <c r="H111" s="7"/>
      <c r="I111" s="13">
        <f t="shared" si="11"/>
        <v>0</v>
      </c>
      <c r="J111" s="7"/>
      <c r="K111" s="7"/>
    </row>
    <row r="112" spans="1:11" ht="12.75">
      <c r="A112" s="25"/>
      <c r="B112" s="13">
        <f t="shared" si="9"/>
        <v>0</v>
      </c>
      <c r="C112" s="7"/>
      <c r="D112" s="7"/>
      <c r="E112" s="13"/>
      <c r="F112" s="7"/>
      <c r="G112" s="13">
        <f t="shared" si="10"/>
        <v>0</v>
      </c>
      <c r="H112" s="7"/>
      <c r="I112" s="13">
        <f t="shared" si="11"/>
        <v>0</v>
      </c>
      <c r="J112" s="7"/>
      <c r="K112" s="7"/>
    </row>
    <row r="113" spans="1:11" ht="12.75">
      <c r="A113" s="25" t="s">
        <v>90</v>
      </c>
      <c r="B113" s="13">
        <f t="shared" si="9"/>
        <v>0</v>
      </c>
      <c r="C113" s="7"/>
      <c r="D113" s="7"/>
      <c r="E113" s="13"/>
      <c r="F113" s="7"/>
      <c r="G113" s="13">
        <f t="shared" si="10"/>
        <v>0</v>
      </c>
      <c r="H113" s="7"/>
      <c r="I113" s="13">
        <f t="shared" si="11"/>
        <v>0</v>
      </c>
      <c r="J113" s="7"/>
      <c r="K113" s="7"/>
    </row>
    <row r="114" spans="1:11" ht="12.75">
      <c r="A114" s="25" t="s">
        <v>91</v>
      </c>
      <c r="B114" s="13">
        <f t="shared" si="9"/>
        <v>0</v>
      </c>
      <c r="C114" s="7"/>
      <c r="D114" s="7"/>
      <c r="E114" s="13"/>
      <c r="F114" s="7"/>
      <c r="G114" s="13">
        <f t="shared" si="10"/>
        <v>0</v>
      </c>
      <c r="H114" s="7"/>
      <c r="I114" s="13">
        <f t="shared" si="11"/>
        <v>0</v>
      </c>
      <c r="J114" s="7"/>
      <c r="K114" s="7"/>
    </row>
    <row r="115" spans="1:11" ht="12.75">
      <c r="A115" s="25" t="s">
        <v>92</v>
      </c>
      <c r="B115" s="13">
        <f t="shared" si="9"/>
        <v>0</v>
      </c>
      <c r="C115" s="7"/>
      <c r="D115" s="7"/>
      <c r="E115" s="13"/>
      <c r="F115" s="7"/>
      <c r="G115" s="13">
        <f t="shared" si="10"/>
        <v>0</v>
      </c>
      <c r="H115" s="7"/>
      <c r="I115" s="13">
        <f t="shared" si="11"/>
        <v>0</v>
      </c>
      <c r="J115" s="7"/>
      <c r="K115" s="7"/>
    </row>
    <row r="116" spans="1:11" ht="12.75">
      <c r="A116" s="25" t="s">
        <v>69</v>
      </c>
      <c r="B116" s="13">
        <f t="shared" si="9"/>
        <v>0</v>
      </c>
      <c r="C116" s="7"/>
      <c r="D116" s="7"/>
      <c r="E116" s="13"/>
      <c r="F116" s="7"/>
      <c r="G116" s="13">
        <f t="shared" si="10"/>
        <v>0</v>
      </c>
      <c r="H116" s="7"/>
      <c r="I116" s="13">
        <f t="shared" si="11"/>
        <v>0</v>
      </c>
      <c r="J116" s="7"/>
      <c r="K116" s="7"/>
    </row>
    <row r="117" spans="1:11" ht="12.75">
      <c r="A117" s="19" t="s">
        <v>93</v>
      </c>
      <c r="B117" s="13">
        <f t="shared" si="9"/>
        <v>2720.4900000000007</v>
      </c>
      <c r="C117" s="13"/>
      <c r="D117" s="13"/>
      <c r="E117" s="13">
        <v>397.2</v>
      </c>
      <c r="F117" s="13"/>
      <c r="G117" s="13">
        <f t="shared" si="10"/>
        <v>397.2</v>
      </c>
      <c r="H117" s="13"/>
      <c r="I117" s="13">
        <f t="shared" si="11"/>
        <v>3117.6900000000005</v>
      </c>
      <c r="J117" s="13"/>
      <c r="K117" s="7"/>
    </row>
    <row r="118" spans="1:11" ht="12.75">
      <c r="A118" s="18" t="s">
        <v>94</v>
      </c>
      <c r="B118" s="13">
        <f t="shared" si="9"/>
        <v>0</v>
      </c>
      <c r="C118" s="7"/>
      <c r="D118" s="7"/>
      <c r="E118" s="13"/>
      <c r="F118" s="7"/>
      <c r="G118" s="13">
        <f t="shared" si="10"/>
        <v>0</v>
      </c>
      <c r="H118" s="7"/>
      <c r="I118" s="13">
        <f t="shared" si="11"/>
        <v>0</v>
      </c>
      <c r="J118" s="7"/>
      <c r="K118" s="7"/>
    </row>
    <row r="119" spans="1:11" ht="12.75">
      <c r="A119" s="18" t="s">
        <v>95</v>
      </c>
      <c r="B119" s="13">
        <f t="shared" si="9"/>
        <v>0</v>
      </c>
      <c r="C119" s="7"/>
      <c r="D119" s="7"/>
      <c r="E119" s="13"/>
      <c r="F119" s="7"/>
      <c r="G119" s="13">
        <f t="shared" si="10"/>
        <v>0</v>
      </c>
      <c r="H119" s="7"/>
      <c r="I119" s="13">
        <f t="shared" si="11"/>
        <v>0</v>
      </c>
      <c r="J119" s="7"/>
      <c r="K119" s="7"/>
    </row>
    <row r="120" spans="1:11" ht="12.75">
      <c r="A120" s="25" t="s">
        <v>96</v>
      </c>
      <c r="B120" s="13">
        <f t="shared" si="9"/>
        <v>0</v>
      </c>
      <c r="C120" s="7"/>
      <c r="D120" s="7"/>
      <c r="E120" s="13"/>
      <c r="F120" s="7"/>
      <c r="G120" s="13">
        <f t="shared" si="10"/>
        <v>0</v>
      </c>
      <c r="H120" s="7"/>
      <c r="I120" s="13">
        <f t="shared" si="11"/>
        <v>0</v>
      </c>
      <c r="J120" s="7"/>
      <c r="K120" s="7"/>
    </row>
    <row r="121" spans="1:11" ht="12.75">
      <c r="A121" s="25" t="s">
        <v>69</v>
      </c>
      <c r="B121" s="13">
        <f t="shared" si="9"/>
        <v>0</v>
      </c>
      <c r="C121" s="7"/>
      <c r="D121" s="7"/>
      <c r="E121" s="13"/>
      <c r="F121" s="7"/>
      <c r="G121" s="13">
        <f t="shared" si="10"/>
        <v>0</v>
      </c>
      <c r="H121" s="7"/>
      <c r="I121" s="13">
        <f t="shared" si="11"/>
        <v>0</v>
      </c>
      <c r="J121" s="7"/>
      <c r="K121" s="7"/>
    </row>
    <row r="122" spans="1:11" ht="12.75">
      <c r="A122" s="26" t="s">
        <v>97</v>
      </c>
      <c r="B122" s="13">
        <f t="shared" si="9"/>
        <v>2.5199999999999996</v>
      </c>
      <c r="C122" s="7"/>
      <c r="D122" s="7"/>
      <c r="E122" s="13"/>
      <c r="F122" s="7"/>
      <c r="G122" s="13">
        <f t="shared" si="10"/>
        <v>0</v>
      </c>
      <c r="H122" s="7"/>
      <c r="I122" s="13">
        <f t="shared" si="11"/>
        <v>2.5199999999999996</v>
      </c>
      <c r="J122" s="7"/>
      <c r="K122" s="7"/>
    </row>
    <row r="123" spans="1:11" ht="12.75">
      <c r="A123" s="26" t="s">
        <v>98</v>
      </c>
      <c r="B123" s="13">
        <f t="shared" si="9"/>
        <v>2.9700000000000006</v>
      </c>
      <c r="C123" s="7"/>
      <c r="D123" s="7"/>
      <c r="E123" s="13">
        <v>0.62</v>
      </c>
      <c r="F123" s="7"/>
      <c r="G123" s="13">
        <f t="shared" si="10"/>
        <v>0.62</v>
      </c>
      <c r="H123" s="7"/>
      <c r="I123" s="13">
        <f t="shared" si="11"/>
        <v>3.5900000000000007</v>
      </c>
      <c r="J123" s="7"/>
      <c r="K123" s="7"/>
    </row>
    <row r="124" spans="1:11" ht="12.75">
      <c r="A124" s="26" t="s">
        <v>99</v>
      </c>
      <c r="B124" s="13">
        <f t="shared" si="9"/>
        <v>34.35</v>
      </c>
      <c r="C124" s="7"/>
      <c r="D124" s="7"/>
      <c r="E124" s="13">
        <v>6.66</v>
      </c>
      <c r="F124" s="7"/>
      <c r="G124" s="13">
        <f t="shared" si="10"/>
        <v>6.66</v>
      </c>
      <c r="H124" s="7"/>
      <c r="I124" s="13">
        <f t="shared" si="11"/>
        <v>41.010000000000005</v>
      </c>
      <c r="J124" s="7"/>
      <c r="K124" s="7"/>
    </row>
    <row r="125" spans="1:11" ht="12.75">
      <c r="A125" s="26" t="s">
        <v>100</v>
      </c>
      <c r="B125" s="13">
        <f t="shared" si="9"/>
        <v>0</v>
      </c>
      <c r="C125" s="7"/>
      <c r="D125" s="7"/>
      <c r="E125" s="13"/>
      <c r="F125" s="7"/>
      <c r="G125" s="13">
        <f t="shared" si="10"/>
        <v>0</v>
      </c>
      <c r="H125" s="7"/>
      <c r="I125" s="13">
        <f t="shared" si="11"/>
        <v>0</v>
      </c>
      <c r="J125" s="7"/>
      <c r="K125" s="7"/>
    </row>
    <row r="126" spans="1:11" ht="12.75">
      <c r="A126" s="26" t="s">
        <v>69</v>
      </c>
      <c r="B126" s="13">
        <f t="shared" si="9"/>
        <v>0</v>
      </c>
      <c r="C126" s="7"/>
      <c r="D126" s="7"/>
      <c r="E126" s="13"/>
      <c r="F126" s="7"/>
      <c r="G126" s="13">
        <f t="shared" si="10"/>
        <v>0</v>
      </c>
      <c r="H126" s="7"/>
      <c r="I126" s="13">
        <f t="shared" si="11"/>
        <v>0</v>
      </c>
      <c r="J126" s="7"/>
      <c r="K126" s="7"/>
    </row>
    <row r="127" spans="1:11" ht="12.75">
      <c r="A127" s="26" t="s">
        <v>101</v>
      </c>
      <c r="B127" s="13">
        <f t="shared" si="9"/>
        <v>0</v>
      </c>
      <c r="C127" s="7"/>
      <c r="D127" s="7"/>
      <c r="E127" s="13"/>
      <c r="F127" s="7"/>
      <c r="G127" s="13">
        <f t="shared" si="10"/>
        <v>0</v>
      </c>
      <c r="H127" s="7"/>
      <c r="I127" s="13">
        <f t="shared" si="11"/>
        <v>0</v>
      </c>
      <c r="J127" s="7"/>
      <c r="K127" s="7"/>
    </row>
    <row r="128" spans="1:11" ht="19.5" customHeight="1">
      <c r="A128" s="261" t="s">
        <v>111</v>
      </c>
      <c r="B128" s="267">
        <f>SUM(B103:B127)</f>
        <v>5460.040000000002</v>
      </c>
      <c r="C128" s="267">
        <f>+C103+C104+C105+C106+C107+C108+C117+C122+C123+C124+C125+C126+C127</f>
        <v>0</v>
      </c>
      <c r="D128" s="267"/>
      <c r="E128" s="267">
        <f aca="true" t="shared" si="12" ref="E128:J128">+E103+E104+E105+E106+E107+E108+E117+E122+E123+E124+E125+E126+E127</f>
        <v>828.6999999999999</v>
      </c>
      <c r="F128" s="267">
        <f t="shared" si="12"/>
        <v>0</v>
      </c>
      <c r="G128" s="267">
        <f t="shared" si="12"/>
        <v>828.6999999999999</v>
      </c>
      <c r="H128" s="267">
        <f t="shared" si="12"/>
        <v>0</v>
      </c>
      <c r="I128" s="267">
        <f t="shared" si="12"/>
        <v>6288.740000000002</v>
      </c>
      <c r="J128" s="267">
        <f t="shared" si="12"/>
        <v>0</v>
      </c>
      <c r="K128" s="257"/>
    </row>
    <row r="132" spans="1:8" ht="12.75">
      <c r="A132" s="266" t="s">
        <v>479</v>
      </c>
      <c r="H132" t="s">
        <v>375</v>
      </c>
    </row>
    <row r="133" spans="1:11" ht="12.75">
      <c r="A133" s="426" t="s">
        <v>80</v>
      </c>
      <c r="B133" s="424" t="s">
        <v>112</v>
      </c>
      <c r="C133" s="424" t="s">
        <v>113</v>
      </c>
      <c r="D133" s="427" t="s">
        <v>104</v>
      </c>
      <c r="E133" s="427"/>
      <c r="F133" s="427"/>
      <c r="G133" s="427"/>
      <c r="H133" s="424" t="s">
        <v>114</v>
      </c>
      <c r="I133" s="424" t="s">
        <v>115</v>
      </c>
      <c r="J133" s="424" t="s">
        <v>116</v>
      </c>
      <c r="K133" s="424" t="s">
        <v>107</v>
      </c>
    </row>
    <row r="134" spans="1:11" ht="48">
      <c r="A134" s="426"/>
      <c r="B134" s="425"/>
      <c r="C134" s="425"/>
      <c r="D134" s="264" t="s">
        <v>117</v>
      </c>
      <c r="E134" s="265" t="s">
        <v>118</v>
      </c>
      <c r="F134" s="265" t="s">
        <v>119</v>
      </c>
      <c r="G134" s="265" t="s">
        <v>102</v>
      </c>
      <c r="H134" s="425"/>
      <c r="I134" s="425"/>
      <c r="J134" s="425"/>
      <c r="K134" s="425"/>
    </row>
    <row r="135" spans="1:11" ht="12.75">
      <c r="A135" s="29" t="s">
        <v>81</v>
      </c>
      <c r="B135" s="13">
        <f aca="true" t="shared" si="13" ref="B135:B159">+I103</f>
        <v>0</v>
      </c>
      <c r="C135" s="7"/>
      <c r="D135" s="7"/>
      <c r="E135" s="13"/>
      <c r="F135" s="7"/>
      <c r="G135" s="13">
        <f>+E135+F135</f>
        <v>0</v>
      </c>
      <c r="H135" s="7"/>
      <c r="I135" s="13">
        <f>+G135+H135</f>
        <v>0</v>
      </c>
      <c r="J135" s="7"/>
      <c r="K135" s="7"/>
    </row>
    <row r="136" spans="1:11" ht="12.75">
      <c r="A136" s="24" t="s">
        <v>82</v>
      </c>
      <c r="B136" s="13">
        <f t="shared" si="13"/>
        <v>47.190000000000005</v>
      </c>
      <c r="C136" s="7"/>
      <c r="D136" s="7"/>
      <c r="E136" s="13">
        <v>7.28</v>
      </c>
      <c r="F136" s="7"/>
      <c r="G136" s="13">
        <f>+E136+F136</f>
        <v>7.28</v>
      </c>
      <c r="H136" s="7"/>
      <c r="I136" s="13">
        <f>+B136+C136+G136+H136</f>
        <v>54.470000000000006</v>
      </c>
      <c r="J136" s="7"/>
      <c r="K136" s="7"/>
    </row>
    <row r="137" spans="1:11" ht="12.75">
      <c r="A137" s="22" t="s">
        <v>83</v>
      </c>
      <c r="B137" s="13">
        <f t="shared" si="13"/>
        <v>9.61</v>
      </c>
      <c r="C137" s="7"/>
      <c r="D137" s="7"/>
      <c r="E137" s="13">
        <v>2.09</v>
      </c>
      <c r="F137" s="7"/>
      <c r="G137" s="13">
        <f aca="true" t="shared" si="14" ref="G137:G159">+E137+F137</f>
        <v>2.09</v>
      </c>
      <c r="H137" s="7"/>
      <c r="I137" s="13">
        <f aca="true" t="shared" si="15" ref="I137:I159">+B137+C137+G137+H137</f>
        <v>11.7</v>
      </c>
      <c r="J137" s="7"/>
      <c r="K137" s="7"/>
    </row>
    <row r="138" spans="1:11" ht="12.75">
      <c r="A138" s="22" t="s">
        <v>84</v>
      </c>
      <c r="B138" s="13">
        <f t="shared" si="13"/>
        <v>0</v>
      </c>
      <c r="C138" s="7"/>
      <c r="D138" s="7"/>
      <c r="E138" s="13">
        <v>0</v>
      </c>
      <c r="F138" s="7"/>
      <c r="G138" s="13">
        <f t="shared" si="14"/>
        <v>0</v>
      </c>
      <c r="H138" s="7"/>
      <c r="I138" s="13">
        <f t="shared" si="15"/>
        <v>0</v>
      </c>
      <c r="J138" s="7"/>
      <c r="K138" s="7"/>
    </row>
    <row r="139" spans="1:11" ht="12.75">
      <c r="A139" s="22" t="s">
        <v>85</v>
      </c>
      <c r="B139" s="13">
        <f t="shared" si="13"/>
        <v>8.46</v>
      </c>
      <c r="C139" s="7"/>
      <c r="D139" s="7"/>
      <c r="E139" s="13">
        <v>1.19</v>
      </c>
      <c r="F139" s="7"/>
      <c r="G139" s="13">
        <f t="shared" si="14"/>
        <v>1.19</v>
      </c>
      <c r="H139" s="7"/>
      <c r="I139" s="13">
        <f t="shared" si="15"/>
        <v>9.65</v>
      </c>
      <c r="J139" s="7"/>
      <c r="K139" s="7"/>
    </row>
    <row r="140" spans="1:11" ht="12.75">
      <c r="A140" s="19" t="s">
        <v>86</v>
      </c>
      <c r="B140" s="13">
        <f t="shared" si="13"/>
        <v>3058.67</v>
      </c>
      <c r="C140" s="13"/>
      <c r="D140" s="13"/>
      <c r="E140" s="13">
        <v>562.79</v>
      </c>
      <c r="F140" s="13"/>
      <c r="G140" s="13">
        <f t="shared" si="14"/>
        <v>562.79</v>
      </c>
      <c r="H140" s="13"/>
      <c r="I140" s="13">
        <f t="shared" si="15"/>
        <v>3621.46</v>
      </c>
      <c r="J140" s="13"/>
      <c r="K140" s="13"/>
    </row>
    <row r="141" spans="1:11" ht="12.75">
      <c r="A141" s="25" t="s">
        <v>87</v>
      </c>
      <c r="B141" s="13">
        <f t="shared" si="13"/>
        <v>0</v>
      </c>
      <c r="C141" s="7"/>
      <c r="D141" s="7"/>
      <c r="E141" s="13"/>
      <c r="F141" s="7"/>
      <c r="G141" s="13">
        <f t="shared" si="14"/>
        <v>0</v>
      </c>
      <c r="H141" s="7"/>
      <c r="I141" s="13">
        <f t="shared" si="15"/>
        <v>0</v>
      </c>
      <c r="J141" s="7"/>
      <c r="K141" s="7"/>
    </row>
    <row r="142" spans="1:11" ht="12.75">
      <c r="A142" s="25" t="s">
        <v>88</v>
      </c>
      <c r="B142" s="13">
        <f t="shared" si="13"/>
        <v>0</v>
      </c>
      <c r="C142" s="7"/>
      <c r="D142" s="7"/>
      <c r="E142" s="13"/>
      <c r="F142" s="7"/>
      <c r="G142" s="13">
        <f t="shared" si="14"/>
        <v>0</v>
      </c>
      <c r="H142" s="7"/>
      <c r="I142" s="13">
        <f t="shared" si="15"/>
        <v>0</v>
      </c>
      <c r="J142" s="7"/>
      <c r="K142" s="7"/>
    </row>
    <row r="143" spans="1:11" ht="12.75">
      <c r="A143" s="25" t="s">
        <v>89</v>
      </c>
      <c r="B143" s="13">
        <f t="shared" si="13"/>
        <v>0</v>
      </c>
      <c r="C143" s="7"/>
      <c r="D143" s="7"/>
      <c r="E143" s="13"/>
      <c r="F143" s="7"/>
      <c r="G143" s="13">
        <f t="shared" si="14"/>
        <v>0</v>
      </c>
      <c r="H143" s="7"/>
      <c r="I143" s="13">
        <f t="shared" si="15"/>
        <v>0</v>
      </c>
      <c r="J143" s="7"/>
      <c r="K143" s="7"/>
    </row>
    <row r="144" spans="1:11" ht="12.75">
      <c r="A144" s="25"/>
      <c r="B144" s="13">
        <f t="shared" si="13"/>
        <v>0</v>
      </c>
      <c r="C144" s="7"/>
      <c r="D144" s="7"/>
      <c r="E144" s="13"/>
      <c r="F144" s="7"/>
      <c r="G144" s="13">
        <f t="shared" si="14"/>
        <v>0</v>
      </c>
      <c r="H144" s="7"/>
      <c r="I144" s="13">
        <f t="shared" si="15"/>
        <v>0</v>
      </c>
      <c r="J144" s="7"/>
      <c r="K144" s="7"/>
    </row>
    <row r="145" spans="1:11" ht="12.75">
      <c r="A145" s="25" t="s">
        <v>90</v>
      </c>
      <c r="B145" s="13">
        <f t="shared" si="13"/>
        <v>0</v>
      </c>
      <c r="C145" s="7"/>
      <c r="D145" s="7"/>
      <c r="E145" s="13"/>
      <c r="F145" s="7"/>
      <c r="G145" s="13">
        <f t="shared" si="14"/>
        <v>0</v>
      </c>
      <c r="H145" s="7"/>
      <c r="I145" s="13">
        <f t="shared" si="15"/>
        <v>0</v>
      </c>
      <c r="J145" s="7"/>
      <c r="K145" s="7"/>
    </row>
    <row r="146" spans="1:11" ht="12.75">
      <c r="A146" s="25" t="s">
        <v>91</v>
      </c>
      <c r="B146" s="13">
        <f t="shared" si="13"/>
        <v>0</v>
      </c>
      <c r="C146" s="7"/>
      <c r="D146" s="7"/>
      <c r="E146" s="13"/>
      <c r="F146" s="7"/>
      <c r="G146" s="13">
        <f t="shared" si="14"/>
        <v>0</v>
      </c>
      <c r="H146" s="7"/>
      <c r="I146" s="13">
        <f t="shared" si="15"/>
        <v>0</v>
      </c>
      <c r="J146" s="7"/>
      <c r="K146" s="7"/>
    </row>
    <row r="147" spans="1:11" ht="12.75">
      <c r="A147" s="25" t="s">
        <v>92</v>
      </c>
      <c r="B147" s="13">
        <f t="shared" si="13"/>
        <v>0</v>
      </c>
      <c r="C147" s="7"/>
      <c r="D147" s="7"/>
      <c r="E147" s="13"/>
      <c r="F147" s="7"/>
      <c r="G147" s="13">
        <f t="shared" si="14"/>
        <v>0</v>
      </c>
      <c r="H147" s="7"/>
      <c r="I147" s="13">
        <f t="shared" si="15"/>
        <v>0</v>
      </c>
      <c r="J147" s="7"/>
      <c r="K147" s="7"/>
    </row>
    <row r="148" spans="1:11" ht="12.75">
      <c r="A148" s="25" t="s">
        <v>69</v>
      </c>
      <c r="B148" s="13">
        <f t="shared" si="13"/>
        <v>0</v>
      </c>
      <c r="C148" s="7"/>
      <c r="D148" s="7"/>
      <c r="E148" s="13"/>
      <c r="F148" s="7"/>
      <c r="G148" s="13">
        <f t="shared" si="14"/>
        <v>0</v>
      </c>
      <c r="H148" s="7"/>
      <c r="I148" s="13">
        <f t="shared" si="15"/>
        <v>0</v>
      </c>
      <c r="J148" s="7"/>
      <c r="K148" s="7"/>
    </row>
    <row r="149" spans="1:11" ht="12.75">
      <c r="A149" s="19" t="s">
        <v>93</v>
      </c>
      <c r="B149" s="13">
        <f t="shared" si="13"/>
        <v>3117.6900000000005</v>
      </c>
      <c r="C149" s="13"/>
      <c r="D149" s="13"/>
      <c r="E149" s="13">
        <v>473</v>
      </c>
      <c r="F149" s="13"/>
      <c r="G149" s="13">
        <f t="shared" si="14"/>
        <v>473</v>
      </c>
      <c r="H149" s="13"/>
      <c r="I149" s="13">
        <f t="shared" si="15"/>
        <v>3590.6900000000005</v>
      </c>
      <c r="J149" s="13"/>
      <c r="K149" s="7"/>
    </row>
    <row r="150" spans="1:11" ht="12.75">
      <c r="A150" s="18" t="s">
        <v>94</v>
      </c>
      <c r="B150" s="13">
        <f t="shared" si="13"/>
        <v>0</v>
      </c>
      <c r="C150" s="7"/>
      <c r="D150" s="7"/>
      <c r="E150" s="13"/>
      <c r="F150" s="7"/>
      <c r="G150" s="13">
        <f t="shared" si="14"/>
        <v>0</v>
      </c>
      <c r="H150" s="7"/>
      <c r="I150" s="13">
        <f t="shared" si="15"/>
        <v>0</v>
      </c>
      <c r="J150" s="7"/>
      <c r="K150" s="7"/>
    </row>
    <row r="151" spans="1:11" ht="12.75">
      <c r="A151" s="18" t="s">
        <v>95</v>
      </c>
      <c r="B151" s="13">
        <f t="shared" si="13"/>
        <v>0</v>
      </c>
      <c r="C151" s="7"/>
      <c r="D151" s="7"/>
      <c r="E151" s="13"/>
      <c r="F151" s="7"/>
      <c r="G151" s="13">
        <f t="shared" si="14"/>
        <v>0</v>
      </c>
      <c r="H151" s="7"/>
      <c r="I151" s="13">
        <f t="shared" si="15"/>
        <v>0</v>
      </c>
      <c r="J151" s="7"/>
      <c r="K151" s="7"/>
    </row>
    <row r="152" spans="1:11" ht="12.75">
      <c r="A152" s="25" t="s">
        <v>96</v>
      </c>
      <c r="B152" s="13">
        <f t="shared" si="13"/>
        <v>0</v>
      </c>
      <c r="C152" s="7"/>
      <c r="D152" s="7"/>
      <c r="E152" s="13"/>
      <c r="F152" s="7"/>
      <c r="G152" s="13">
        <f t="shared" si="14"/>
        <v>0</v>
      </c>
      <c r="H152" s="7"/>
      <c r="I152" s="13">
        <f t="shared" si="15"/>
        <v>0</v>
      </c>
      <c r="J152" s="7"/>
      <c r="K152" s="7"/>
    </row>
    <row r="153" spans="1:11" ht="12.75">
      <c r="A153" s="25" t="s">
        <v>69</v>
      </c>
      <c r="B153" s="13">
        <f t="shared" si="13"/>
        <v>0</v>
      </c>
      <c r="C153" s="7"/>
      <c r="D153" s="7"/>
      <c r="E153" s="13"/>
      <c r="F153" s="7"/>
      <c r="G153" s="13">
        <f t="shared" si="14"/>
        <v>0</v>
      </c>
      <c r="H153" s="7"/>
      <c r="I153" s="13">
        <f t="shared" si="15"/>
        <v>0</v>
      </c>
      <c r="J153" s="7"/>
      <c r="K153" s="7"/>
    </row>
    <row r="154" spans="1:11" ht="12.75">
      <c r="A154" s="26" t="s">
        <v>97</v>
      </c>
      <c r="B154" s="13">
        <f t="shared" si="13"/>
        <v>2.5199999999999996</v>
      </c>
      <c r="C154" s="7"/>
      <c r="D154" s="7"/>
      <c r="E154" s="13"/>
      <c r="F154" s="7"/>
      <c r="G154" s="13">
        <f t="shared" si="14"/>
        <v>0</v>
      </c>
      <c r="H154" s="7"/>
      <c r="I154" s="13">
        <f t="shared" si="15"/>
        <v>2.5199999999999996</v>
      </c>
      <c r="J154" s="7"/>
      <c r="K154" s="7"/>
    </row>
    <row r="155" spans="1:11" ht="12.75">
      <c r="A155" s="26" t="s">
        <v>98</v>
      </c>
      <c r="B155" s="13">
        <f t="shared" si="13"/>
        <v>3.5900000000000007</v>
      </c>
      <c r="C155" s="7"/>
      <c r="D155" s="7"/>
      <c r="E155" s="13">
        <v>0.85</v>
      </c>
      <c r="F155" s="7"/>
      <c r="G155" s="13">
        <f t="shared" si="14"/>
        <v>0.85</v>
      </c>
      <c r="H155" s="7"/>
      <c r="I155" s="13">
        <f t="shared" si="15"/>
        <v>4.44</v>
      </c>
      <c r="J155" s="7"/>
      <c r="K155" s="7"/>
    </row>
    <row r="156" spans="1:11" ht="12.75">
      <c r="A156" s="26" t="s">
        <v>99</v>
      </c>
      <c r="B156" s="13">
        <f t="shared" si="13"/>
        <v>41.010000000000005</v>
      </c>
      <c r="C156" s="7"/>
      <c r="D156" s="7"/>
      <c r="E156" s="13">
        <v>8.9</v>
      </c>
      <c r="F156" s="7"/>
      <c r="G156" s="13">
        <f t="shared" si="14"/>
        <v>8.9</v>
      </c>
      <c r="H156" s="7"/>
      <c r="I156" s="13">
        <f t="shared" si="15"/>
        <v>49.910000000000004</v>
      </c>
      <c r="J156" s="7"/>
      <c r="K156" s="7"/>
    </row>
    <row r="157" spans="1:11" ht="12.75">
      <c r="A157" s="26" t="s">
        <v>100</v>
      </c>
      <c r="B157" s="13">
        <f t="shared" si="13"/>
        <v>0</v>
      </c>
      <c r="C157" s="7"/>
      <c r="D157" s="7"/>
      <c r="E157" s="13"/>
      <c r="F157" s="7"/>
      <c r="G157" s="13">
        <f t="shared" si="14"/>
        <v>0</v>
      </c>
      <c r="H157" s="7"/>
      <c r="I157" s="13">
        <f t="shared" si="15"/>
        <v>0</v>
      </c>
      <c r="J157" s="7"/>
      <c r="K157" s="7"/>
    </row>
    <row r="158" spans="1:11" ht="12.75">
      <c r="A158" s="26" t="s">
        <v>69</v>
      </c>
      <c r="B158" s="13">
        <f t="shared" si="13"/>
        <v>0</v>
      </c>
      <c r="C158" s="7"/>
      <c r="D158" s="7"/>
      <c r="E158" s="13"/>
      <c r="F158" s="7"/>
      <c r="G158" s="13">
        <f t="shared" si="14"/>
        <v>0</v>
      </c>
      <c r="H158" s="7"/>
      <c r="I158" s="13">
        <f t="shared" si="15"/>
        <v>0</v>
      </c>
      <c r="J158" s="7"/>
      <c r="K158" s="7"/>
    </row>
    <row r="159" spans="1:11" ht="12.75">
      <c r="A159" s="26" t="s">
        <v>101</v>
      </c>
      <c r="B159" s="13">
        <f t="shared" si="13"/>
        <v>0</v>
      </c>
      <c r="C159" s="7"/>
      <c r="D159" s="7"/>
      <c r="E159" s="13"/>
      <c r="F159" s="7"/>
      <c r="G159" s="13">
        <f t="shared" si="14"/>
        <v>0</v>
      </c>
      <c r="H159" s="7"/>
      <c r="I159" s="13">
        <f t="shared" si="15"/>
        <v>0</v>
      </c>
      <c r="J159" s="7"/>
      <c r="K159" s="7"/>
    </row>
    <row r="160" spans="1:11" ht="19.5" customHeight="1">
      <c r="A160" s="261" t="s">
        <v>111</v>
      </c>
      <c r="B160" s="267">
        <f>SUM(B135:B159)</f>
        <v>6288.740000000002</v>
      </c>
      <c r="C160" s="267">
        <f>+C135+C136+C137+C138+C139+C140+C149+C154+C155+C156+C157+C158+C159</f>
        <v>0</v>
      </c>
      <c r="D160" s="267"/>
      <c r="E160" s="267">
        <f>SUM(E135:E159)</f>
        <v>1056.1</v>
      </c>
      <c r="F160" s="267">
        <f>+F135+F136+F137+F138+F139+F140+F149+F154+F155+F156+F157+F158+F159</f>
        <v>0</v>
      </c>
      <c r="G160" s="267">
        <f>+G135+G136+G137+G138+G139+G140+G149+G154+G155+G156+G157+G158+G159</f>
        <v>1056.1</v>
      </c>
      <c r="H160" s="267">
        <f>+H135+H136+H137+H138+H139+H140+H149+H154+H155+H156+H157+H158+H159</f>
        <v>0</v>
      </c>
      <c r="I160" s="267">
        <f>+I135+I136+I137+I138+I139+I140+I149+I154+I155+I156+I157+I158+I159</f>
        <v>7344.840000000001</v>
      </c>
      <c r="J160" s="267">
        <f>+J135+J136+J137+J138+J139+J140+J149+J154+J155+J156+J157+J158+J159</f>
        <v>0</v>
      </c>
      <c r="K160" s="257"/>
    </row>
    <row r="164" spans="1:8" ht="12.75">
      <c r="A164" s="266" t="s">
        <v>480</v>
      </c>
      <c r="H164" t="s">
        <v>375</v>
      </c>
    </row>
    <row r="165" spans="1:11" ht="12.75">
      <c r="A165" s="426" t="s">
        <v>80</v>
      </c>
      <c r="B165" s="424" t="s">
        <v>112</v>
      </c>
      <c r="C165" s="424" t="s">
        <v>113</v>
      </c>
      <c r="D165" s="427" t="s">
        <v>104</v>
      </c>
      <c r="E165" s="427"/>
      <c r="F165" s="427"/>
      <c r="G165" s="427"/>
      <c r="H165" s="424" t="s">
        <v>114</v>
      </c>
      <c r="I165" s="424" t="s">
        <v>115</v>
      </c>
      <c r="J165" s="424" t="s">
        <v>116</v>
      </c>
      <c r="K165" s="424" t="s">
        <v>107</v>
      </c>
    </row>
    <row r="166" spans="1:11" ht="48">
      <c r="A166" s="426"/>
      <c r="B166" s="425"/>
      <c r="C166" s="425"/>
      <c r="D166" s="264" t="s">
        <v>117</v>
      </c>
      <c r="E166" s="265" t="s">
        <v>118</v>
      </c>
      <c r="F166" s="265" t="s">
        <v>119</v>
      </c>
      <c r="G166" s="265" t="s">
        <v>102</v>
      </c>
      <c r="H166" s="425"/>
      <c r="I166" s="425"/>
      <c r="J166" s="425"/>
      <c r="K166" s="425"/>
    </row>
    <row r="167" spans="1:11" ht="12.75">
      <c r="A167" s="29" t="s">
        <v>81</v>
      </c>
      <c r="B167" s="13">
        <f aca="true" t="shared" si="16" ref="B167:B191">+I135</f>
        <v>0</v>
      </c>
      <c r="C167" s="7"/>
      <c r="D167" s="7"/>
      <c r="E167" s="13">
        <v>0</v>
      </c>
      <c r="F167" s="7"/>
      <c r="G167" s="13">
        <f>+E167+F167</f>
        <v>0</v>
      </c>
      <c r="H167" s="7"/>
      <c r="I167" s="13">
        <f>+G167+H167</f>
        <v>0</v>
      </c>
      <c r="J167" s="7"/>
      <c r="K167" s="7"/>
    </row>
    <row r="168" spans="1:11" ht="12.75">
      <c r="A168" s="24" t="s">
        <v>82</v>
      </c>
      <c r="B168" s="13">
        <f t="shared" si="16"/>
        <v>54.470000000000006</v>
      </c>
      <c r="C168" s="7"/>
      <c r="D168" s="7"/>
      <c r="E168" s="13">
        <v>10.12</v>
      </c>
      <c r="F168" s="7"/>
      <c r="G168" s="13">
        <f>+E168+F168</f>
        <v>10.12</v>
      </c>
      <c r="H168" s="7"/>
      <c r="I168" s="13">
        <f>+B168+C168+G168+H168</f>
        <v>64.59</v>
      </c>
      <c r="J168" s="7"/>
      <c r="K168" s="7"/>
    </row>
    <row r="169" spans="1:11" ht="12.75">
      <c r="A169" s="22" t="s">
        <v>83</v>
      </c>
      <c r="B169" s="13">
        <f t="shared" si="16"/>
        <v>11.7</v>
      </c>
      <c r="C169" s="7"/>
      <c r="D169" s="7"/>
      <c r="E169" s="13">
        <v>1.97</v>
      </c>
      <c r="F169" s="7"/>
      <c r="G169" s="13">
        <f aca="true" t="shared" si="17" ref="G169:G191">+E169+F169</f>
        <v>1.97</v>
      </c>
      <c r="H169" s="7"/>
      <c r="I169" s="13">
        <f aca="true" t="shared" si="18" ref="I169:I191">+B169+C169+G169+H169</f>
        <v>13.67</v>
      </c>
      <c r="J169" s="7"/>
      <c r="K169" s="7"/>
    </row>
    <row r="170" spans="1:11" ht="12.75">
      <c r="A170" s="22" t="s">
        <v>84</v>
      </c>
      <c r="B170" s="13">
        <f t="shared" si="16"/>
        <v>0</v>
      </c>
      <c r="C170" s="7"/>
      <c r="D170" s="7"/>
      <c r="E170" s="13">
        <v>0</v>
      </c>
      <c r="F170" s="7"/>
      <c r="G170" s="13">
        <f t="shared" si="17"/>
        <v>0</v>
      </c>
      <c r="H170" s="7"/>
      <c r="I170" s="13">
        <f t="shared" si="18"/>
        <v>0</v>
      </c>
      <c r="J170" s="7"/>
      <c r="K170" s="7"/>
    </row>
    <row r="171" spans="1:11" ht="12.75">
      <c r="A171" s="22" t="s">
        <v>85</v>
      </c>
      <c r="B171" s="13">
        <f t="shared" si="16"/>
        <v>9.65</v>
      </c>
      <c r="C171" s="7"/>
      <c r="D171" s="7"/>
      <c r="E171" s="13">
        <v>1.37</v>
      </c>
      <c r="F171" s="7"/>
      <c r="G171" s="13">
        <f t="shared" si="17"/>
        <v>1.37</v>
      </c>
      <c r="H171" s="7"/>
      <c r="I171" s="13">
        <f t="shared" si="18"/>
        <v>11.02</v>
      </c>
      <c r="J171" s="7"/>
      <c r="K171" s="7"/>
    </row>
    <row r="172" spans="1:11" ht="12.75">
      <c r="A172" s="19" t="s">
        <v>86</v>
      </c>
      <c r="B172" s="13">
        <f t="shared" si="16"/>
        <v>3621.46</v>
      </c>
      <c r="C172" s="13"/>
      <c r="D172" s="13"/>
      <c r="E172" s="13">
        <v>754.07</v>
      </c>
      <c r="F172" s="13"/>
      <c r="G172" s="13">
        <f t="shared" si="17"/>
        <v>754.07</v>
      </c>
      <c r="H172" s="13"/>
      <c r="I172" s="13">
        <f t="shared" si="18"/>
        <v>4375.53</v>
      </c>
      <c r="J172" s="13"/>
      <c r="K172" s="13"/>
    </row>
    <row r="173" spans="1:11" ht="12.75">
      <c r="A173" s="25" t="s">
        <v>87</v>
      </c>
      <c r="B173" s="13">
        <f t="shared" si="16"/>
        <v>0</v>
      </c>
      <c r="C173" s="7"/>
      <c r="D173" s="7"/>
      <c r="E173" s="13"/>
      <c r="F173" s="7"/>
      <c r="G173" s="13">
        <f t="shared" si="17"/>
        <v>0</v>
      </c>
      <c r="H173" s="7"/>
      <c r="I173" s="13">
        <f t="shared" si="18"/>
        <v>0</v>
      </c>
      <c r="J173" s="7"/>
      <c r="K173" s="7"/>
    </row>
    <row r="174" spans="1:11" ht="12.75">
      <c r="A174" s="25" t="s">
        <v>88</v>
      </c>
      <c r="B174" s="13">
        <f t="shared" si="16"/>
        <v>0</v>
      </c>
      <c r="C174" s="7"/>
      <c r="D174" s="7"/>
      <c r="E174" s="13"/>
      <c r="F174" s="7"/>
      <c r="G174" s="13">
        <f t="shared" si="17"/>
        <v>0</v>
      </c>
      <c r="H174" s="7"/>
      <c r="I174" s="13">
        <f t="shared" si="18"/>
        <v>0</v>
      </c>
      <c r="J174" s="7"/>
      <c r="K174" s="7"/>
    </row>
    <row r="175" spans="1:11" ht="12.75">
      <c r="A175" s="25" t="s">
        <v>89</v>
      </c>
      <c r="B175" s="13">
        <f t="shared" si="16"/>
        <v>0</v>
      </c>
      <c r="C175" s="7"/>
      <c r="D175" s="7"/>
      <c r="E175" s="13"/>
      <c r="F175" s="7"/>
      <c r="G175" s="13">
        <f t="shared" si="17"/>
        <v>0</v>
      </c>
      <c r="H175" s="7"/>
      <c r="I175" s="13">
        <f t="shared" si="18"/>
        <v>0</v>
      </c>
      <c r="J175" s="7"/>
      <c r="K175" s="7"/>
    </row>
    <row r="176" spans="1:11" ht="12.75">
      <c r="A176" s="25"/>
      <c r="B176" s="13">
        <f t="shared" si="16"/>
        <v>0</v>
      </c>
      <c r="C176" s="7"/>
      <c r="D176" s="7"/>
      <c r="E176" s="13"/>
      <c r="F176" s="7"/>
      <c r="G176" s="13">
        <f t="shared" si="17"/>
        <v>0</v>
      </c>
      <c r="H176" s="7"/>
      <c r="I176" s="13">
        <f t="shared" si="18"/>
        <v>0</v>
      </c>
      <c r="J176" s="7"/>
      <c r="K176" s="7"/>
    </row>
    <row r="177" spans="1:11" ht="12.75">
      <c r="A177" s="25" t="s">
        <v>90</v>
      </c>
      <c r="B177" s="13">
        <f t="shared" si="16"/>
        <v>0</v>
      </c>
      <c r="C177" s="7"/>
      <c r="D177" s="7"/>
      <c r="E177" s="13"/>
      <c r="F177" s="7"/>
      <c r="G177" s="13">
        <f t="shared" si="17"/>
        <v>0</v>
      </c>
      <c r="H177" s="7"/>
      <c r="I177" s="13">
        <f t="shared" si="18"/>
        <v>0</v>
      </c>
      <c r="J177" s="7"/>
      <c r="K177" s="7"/>
    </row>
    <row r="178" spans="1:11" ht="12.75">
      <c r="A178" s="25" t="s">
        <v>91</v>
      </c>
      <c r="B178" s="13">
        <f t="shared" si="16"/>
        <v>0</v>
      </c>
      <c r="C178" s="7"/>
      <c r="D178" s="7"/>
      <c r="E178" s="13"/>
      <c r="F178" s="7"/>
      <c r="G178" s="13">
        <f t="shared" si="17"/>
        <v>0</v>
      </c>
      <c r="H178" s="7"/>
      <c r="I178" s="13">
        <f t="shared" si="18"/>
        <v>0</v>
      </c>
      <c r="J178" s="7"/>
      <c r="K178" s="7"/>
    </row>
    <row r="179" spans="1:11" ht="12.75">
      <c r="A179" s="25" t="s">
        <v>92</v>
      </c>
      <c r="B179" s="13">
        <f t="shared" si="16"/>
        <v>0</v>
      </c>
      <c r="C179" s="7"/>
      <c r="D179" s="7"/>
      <c r="E179" s="13"/>
      <c r="F179" s="7"/>
      <c r="G179" s="13">
        <f t="shared" si="17"/>
        <v>0</v>
      </c>
      <c r="H179" s="7"/>
      <c r="I179" s="13">
        <f t="shared" si="18"/>
        <v>0</v>
      </c>
      <c r="J179" s="7"/>
      <c r="K179" s="7"/>
    </row>
    <row r="180" spans="1:11" ht="12.75">
      <c r="A180" s="25" t="s">
        <v>69</v>
      </c>
      <c r="B180" s="13">
        <f t="shared" si="16"/>
        <v>0</v>
      </c>
      <c r="C180" s="7"/>
      <c r="D180" s="7"/>
      <c r="E180" s="13"/>
      <c r="F180" s="7"/>
      <c r="G180" s="13">
        <f t="shared" si="17"/>
        <v>0</v>
      </c>
      <c r="H180" s="7"/>
      <c r="I180" s="13">
        <f t="shared" si="18"/>
        <v>0</v>
      </c>
      <c r="J180" s="7"/>
      <c r="K180" s="7"/>
    </row>
    <row r="181" spans="1:11" ht="12.75">
      <c r="A181" s="19" t="s">
        <v>93</v>
      </c>
      <c r="B181" s="13">
        <f t="shared" si="16"/>
        <v>3590.6900000000005</v>
      </c>
      <c r="C181" s="13"/>
      <c r="D181" s="13"/>
      <c r="E181" s="13">
        <v>570.44</v>
      </c>
      <c r="F181" s="13"/>
      <c r="G181" s="13">
        <f t="shared" si="17"/>
        <v>570.44</v>
      </c>
      <c r="H181" s="13"/>
      <c r="I181" s="13">
        <f t="shared" si="18"/>
        <v>4161.130000000001</v>
      </c>
      <c r="J181" s="13"/>
      <c r="K181" s="7"/>
    </row>
    <row r="182" spans="1:11" ht="12.75">
      <c r="A182" s="18" t="s">
        <v>94</v>
      </c>
      <c r="B182" s="13">
        <f t="shared" si="16"/>
        <v>0</v>
      </c>
      <c r="C182" s="7"/>
      <c r="D182" s="7"/>
      <c r="E182" s="13"/>
      <c r="F182" s="7"/>
      <c r="G182" s="13">
        <f t="shared" si="17"/>
        <v>0</v>
      </c>
      <c r="H182" s="7"/>
      <c r="I182" s="13">
        <f t="shared" si="18"/>
        <v>0</v>
      </c>
      <c r="J182" s="7"/>
      <c r="K182" s="7"/>
    </row>
    <row r="183" spans="1:11" ht="12.75">
      <c r="A183" s="18" t="s">
        <v>95</v>
      </c>
      <c r="B183" s="13">
        <f t="shared" si="16"/>
        <v>0</v>
      </c>
      <c r="C183" s="7"/>
      <c r="D183" s="7"/>
      <c r="E183" s="13"/>
      <c r="F183" s="7"/>
      <c r="G183" s="13">
        <f t="shared" si="17"/>
        <v>0</v>
      </c>
      <c r="H183" s="7"/>
      <c r="I183" s="13">
        <f t="shared" si="18"/>
        <v>0</v>
      </c>
      <c r="J183" s="7"/>
      <c r="K183" s="7"/>
    </row>
    <row r="184" spans="1:11" ht="12.75">
      <c r="A184" s="25" t="s">
        <v>96</v>
      </c>
      <c r="B184" s="13">
        <f t="shared" si="16"/>
        <v>0</v>
      </c>
      <c r="C184" s="7"/>
      <c r="D184" s="7"/>
      <c r="E184" s="13"/>
      <c r="F184" s="7"/>
      <c r="G184" s="13">
        <f t="shared" si="17"/>
        <v>0</v>
      </c>
      <c r="H184" s="7"/>
      <c r="I184" s="13">
        <f t="shared" si="18"/>
        <v>0</v>
      </c>
      <c r="J184" s="7"/>
      <c r="K184" s="7"/>
    </row>
    <row r="185" spans="1:11" ht="12.75">
      <c r="A185" s="25" t="s">
        <v>69</v>
      </c>
      <c r="B185" s="13">
        <f t="shared" si="16"/>
        <v>0</v>
      </c>
      <c r="C185" s="7"/>
      <c r="D185" s="7"/>
      <c r="E185" s="13"/>
      <c r="F185" s="7"/>
      <c r="G185" s="13">
        <f t="shared" si="17"/>
        <v>0</v>
      </c>
      <c r="H185" s="7"/>
      <c r="I185" s="13">
        <f t="shared" si="18"/>
        <v>0</v>
      </c>
      <c r="J185" s="7"/>
      <c r="K185" s="7"/>
    </row>
    <row r="186" spans="1:11" ht="12.75">
      <c r="A186" s="26" t="s">
        <v>97</v>
      </c>
      <c r="B186" s="13">
        <f t="shared" si="16"/>
        <v>2.5199999999999996</v>
      </c>
      <c r="C186" s="7"/>
      <c r="D186" s="7"/>
      <c r="E186" s="13"/>
      <c r="F186" s="7"/>
      <c r="G186" s="13">
        <f t="shared" si="17"/>
        <v>0</v>
      </c>
      <c r="H186" s="7"/>
      <c r="I186" s="13">
        <f t="shared" si="18"/>
        <v>2.5199999999999996</v>
      </c>
      <c r="J186" s="7"/>
      <c r="K186" s="7"/>
    </row>
    <row r="187" spans="1:11" ht="12.75">
      <c r="A187" s="26" t="s">
        <v>98</v>
      </c>
      <c r="B187" s="13">
        <f t="shared" si="16"/>
        <v>4.44</v>
      </c>
      <c r="C187" s="7"/>
      <c r="D187" s="7"/>
      <c r="E187" s="13">
        <v>1.15</v>
      </c>
      <c r="F187" s="7"/>
      <c r="G187" s="13">
        <f t="shared" si="17"/>
        <v>1.15</v>
      </c>
      <c r="H187" s="7"/>
      <c r="I187" s="13">
        <f t="shared" si="18"/>
        <v>5.59</v>
      </c>
      <c r="J187" s="7"/>
      <c r="K187" s="7"/>
    </row>
    <row r="188" spans="1:11" ht="12.75">
      <c r="A188" s="26" t="s">
        <v>99</v>
      </c>
      <c r="B188" s="13">
        <f t="shared" si="16"/>
        <v>49.910000000000004</v>
      </c>
      <c r="C188" s="7"/>
      <c r="D188" s="7"/>
      <c r="E188" s="13">
        <v>11.83</v>
      </c>
      <c r="F188" s="7"/>
      <c r="G188" s="13">
        <f t="shared" si="17"/>
        <v>11.83</v>
      </c>
      <c r="H188" s="7"/>
      <c r="I188" s="13">
        <f t="shared" si="18"/>
        <v>61.74</v>
      </c>
      <c r="J188" s="7"/>
      <c r="K188" s="7"/>
    </row>
    <row r="189" spans="1:11" ht="12.75">
      <c r="A189" s="26" t="s">
        <v>100</v>
      </c>
      <c r="B189" s="13">
        <f t="shared" si="16"/>
        <v>0</v>
      </c>
      <c r="C189" s="7"/>
      <c r="D189" s="7"/>
      <c r="E189" s="13"/>
      <c r="F189" s="7"/>
      <c r="G189" s="13">
        <f t="shared" si="17"/>
        <v>0</v>
      </c>
      <c r="H189" s="7"/>
      <c r="I189" s="13">
        <f t="shared" si="18"/>
        <v>0</v>
      </c>
      <c r="J189" s="7"/>
      <c r="K189" s="7"/>
    </row>
    <row r="190" spans="1:11" ht="12.75">
      <c r="A190" s="26" t="s">
        <v>69</v>
      </c>
      <c r="B190" s="13">
        <f t="shared" si="16"/>
        <v>0</v>
      </c>
      <c r="C190" s="7"/>
      <c r="D190" s="7"/>
      <c r="E190" s="13"/>
      <c r="F190" s="7"/>
      <c r="G190" s="13">
        <f t="shared" si="17"/>
        <v>0</v>
      </c>
      <c r="H190" s="7"/>
      <c r="I190" s="13">
        <f t="shared" si="18"/>
        <v>0</v>
      </c>
      <c r="J190" s="7"/>
      <c r="K190" s="7"/>
    </row>
    <row r="191" spans="1:11" ht="12.75">
      <c r="A191" s="26" t="s">
        <v>101</v>
      </c>
      <c r="B191" s="13">
        <f t="shared" si="16"/>
        <v>0</v>
      </c>
      <c r="C191" s="7"/>
      <c r="D191" s="7"/>
      <c r="E191" s="13"/>
      <c r="F191" s="7"/>
      <c r="G191" s="13">
        <f t="shared" si="17"/>
        <v>0</v>
      </c>
      <c r="H191" s="7"/>
      <c r="I191" s="13">
        <f t="shared" si="18"/>
        <v>0</v>
      </c>
      <c r="J191" s="7"/>
      <c r="K191" s="7"/>
    </row>
    <row r="192" spans="1:11" ht="19.5" customHeight="1">
      <c r="A192" s="261" t="s">
        <v>111</v>
      </c>
      <c r="B192" s="267">
        <f>SUM(B167:B191)</f>
        <v>7344.840000000001</v>
      </c>
      <c r="C192" s="267">
        <f aca="true" t="shared" si="19" ref="C192:J192">+C167+C168+C169+C170+C171+C172+C181+C186+C187+C188+C189+C190+C191</f>
        <v>0</v>
      </c>
      <c r="D192" s="267"/>
      <c r="E192" s="267">
        <f>SUM(E167:E191)</f>
        <v>1350.9500000000003</v>
      </c>
      <c r="F192" s="267">
        <f t="shared" si="19"/>
        <v>0</v>
      </c>
      <c r="G192" s="267">
        <f t="shared" si="19"/>
        <v>1350.9500000000003</v>
      </c>
      <c r="H192" s="267">
        <f t="shared" si="19"/>
        <v>0</v>
      </c>
      <c r="I192" s="267">
        <f t="shared" si="19"/>
        <v>8695.79</v>
      </c>
      <c r="J192" s="267">
        <f t="shared" si="19"/>
        <v>0</v>
      </c>
      <c r="K192" s="257"/>
    </row>
  </sheetData>
  <sheetProtection/>
  <mergeCells count="48">
    <mergeCell ref="J165:J166"/>
    <mergeCell ref="K165:K166"/>
    <mergeCell ref="A165:A166"/>
    <mergeCell ref="B165:B166"/>
    <mergeCell ref="C165:C166"/>
    <mergeCell ref="D165:G165"/>
    <mergeCell ref="H165:H166"/>
    <mergeCell ref="I165:I166"/>
    <mergeCell ref="A133:A134"/>
    <mergeCell ref="B133:B134"/>
    <mergeCell ref="C133:C134"/>
    <mergeCell ref="D133:G133"/>
    <mergeCell ref="H133:H134"/>
    <mergeCell ref="I133:I134"/>
    <mergeCell ref="J133:J134"/>
    <mergeCell ref="K133:K134"/>
    <mergeCell ref="A101:A102"/>
    <mergeCell ref="B101:B102"/>
    <mergeCell ref="C101:C102"/>
    <mergeCell ref="D101:G101"/>
    <mergeCell ref="H101:H102"/>
    <mergeCell ref="I101:I102"/>
    <mergeCell ref="J101:J102"/>
    <mergeCell ref="K101:K102"/>
    <mergeCell ref="A69:A70"/>
    <mergeCell ref="B69:B70"/>
    <mergeCell ref="C69:C70"/>
    <mergeCell ref="D69:G69"/>
    <mergeCell ref="H69:H70"/>
    <mergeCell ref="I69:I70"/>
    <mergeCell ref="J69:J70"/>
    <mergeCell ref="K69:K70"/>
    <mergeCell ref="A37:A38"/>
    <mergeCell ref="B37:B38"/>
    <mergeCell ref="C37:C38"/>
    <mergeCell ref="D37:G37"/>
    <mergeCell ref="H37:H38"/>
    <mergeCell ref="I37:I38"/>
    <mergeCell ref="J37:J38"/>
    <mergeCell ref="K37:K38"/>
    <mergeCell ref="J5:J6"/>
    <mergeCell ref="K5:K6"/>
    <mergeCell ref="A5:A6"/>
    <mergeCell ref="B5:B6"/>
    <mergeCell ref="C5:C6"/>
    <mergeCell ref="D5:G5"/>
    <mergeCell ref="H5:H6"/>
    <mergeCell ref="I5:I6"/>
  </mergeCells>
  <dataValidations count="1">
    <dataValidation type="decimal" allowBlank="1" showInputMessage="1" showErrorMessage="1" error="Enter in number format only" sqref="B5:D6 H5:J6 E6:G6 B37:D38 H37:J38 E38:G38 B69:D70 H69:J70 E70:G70 B101:D102 H101:J102 E102:G102 B133:D134 H133:J134 E134:G134 B165:D166 H165:J166 E166:G166">
      <formula1>-1000000000000000</formula1>
      <formula2>100000000000000000</formula2>
    </dataValidation>
  </dataValidations>
  <printOptions horizontalCentered="1"/>
  <pageMargins left="0.28" right="0.27" top="0.72" bottom="1" header="0.32" footer="0.5"/>
  <pageSetup horizontalDpi="600" verticalDpi="600" orientation="landscape" scale="85" r:id="rId1"/>
  <rowBreaks count="5" manualBreakCount="5">
    <brk id="32" max="10" man="1"/>
    <brk id="64" max="10" man="1"/>
    <brk id="96" max="10" man="1"/>
    <brk id="128" max="10" man="1"/>
    <brk id="160" max="10" man="1"/>
  </rowBreaks>
</worksheet>
</file>

<file path=xl/worksheets/sheet11.xml><?xml version="1.0" encoding="utf-8"?>
<worksheet xmlns="http://schemas.openxmlformats.org/spreadsheetml/2006/main" xmlns:r="http://schemas.openxmlformats.org/officeDocument/2006/relationships">
  <sheetPr>
    <tabColor rgb="FFFF0000"/>
  </sheetPr>
  <dimension ref="A2:H19"/>
  <sheetViews>
    <sheetView zoomScalePageLayoutView="0" workbookViewId="0" topLeftCell="A1">
      <selection activeCell="N8" sqref="N8"/>
    </sheetView>
  </sheetViews>
  <sheetFormatPr defaultColWidth="9.140625" defaultRowHeight="12.75"/>
  <cols>
    <col min="1" max="1" width="28.57421875" style="0" customWidth="1"/>
    <col min="2" max="2" width="7.421875" style="0" customWidth="1"/>
    <col min="3" max="8" width="10.421875" style="0" customWidth="1"/>
  </cols>
  <sheetData>
    <row r="2" ht="12.75">
      <c r="A2" s="23" t="s">
        <v>491</v>
      </c>
    </row>
    <row r="3" ht="12.75">
      <c r="A3" s="32" t="s">
        <v>120</v>
      </c>
    </row>
    <row r="4" ht="12.75">
      <c r="A4" s="23"/>
    </row>
    <row r="5" spans="1:6" ht="12.75">
      <c r="A5" s="10"/>
      <c r="E5" s="421" t="s">
        <v>375</v>
      </c>
      <c r="F5" s="421"/>
    </row>
    <row r="6" spans="1:8" ht="24.75" customHeight="1">
      <c r="A6" s="269" t="s">
        <v>0</v>
      </c>
      <c r="B6" s="248" t="s">
        <v>13</v>
      </c>
      <c r="C6" s="248" t="s">
        <v>418</v>
      </c>
      <c r="D6" s="248" t="s">
        <v>481</v>
      </c>
      <c r="E6" s="248" t="s">
        <v>482</v>
      </c>
      <c r="F6" s="248" t="s">
        <v>483</v>
      </c>
      <c r="G6" s="248" t="s">
        <v>484</v>
      </c>
      <c r="H6" s="248" t="s">
        <v>485</v>
      </c>
    </row>
    <row r="7" spans="1:8" ht="16.5" customHeight="1">
      <c r="A7" s="33"/>
      <c r="B7" s="7"/>
      <c r="C7" s="7"/>
      <c r="D7" s="7"/>
      <c r="E7" s="7"/>
      <c r="F7" s="7"/>
      <c r="G7" s="7"/>
      <c r="H7" s="7"/>
    </row>
    <row r="8" spans="1:8" ht="16.5" customHeight="1">
      <c r="A8" s="22" t="s">
        <v>121</v>
      </c>
      <c r="B8" s="33"/>
      <c r="C8" s="84">
        <v>1847.7200000000012</v>
      </c>
      <c r="D8" s="40">
        <f>+C19</f>
        <v>2346.3500000000013</v>
      </c>
      <c r="E8" s="40">
        <f>+D19</f>
        <v>2694.5200000000013</v>
      </c>
      <c r="F8" s="40">
        <f>+E19</f>
        <v>3435.3900000000012</v>
      </c>
      <c r="G8" s="40">
        <f>+F19</f>
        <v>3267.5600000000013</v>
      </c>
      <c r="H8" s="40">
        <f>+G19</f>
        <v>2077.260000000001</v>
      </c>
    </row>
    <row r="9" spans="1:8" ht="16.5" customHeight="1">
      <c r="A9" s="22" t="s">
        <v>122</v>
      </c>
      <c r="B9" s="33"/>
      <c r="C9" s="40">
        <v>1326.29</v>
      </c>
      <c r="D9" s="40">
        <v>1472.23</v>
      </c>
      <c r="E9" s="40">
        <v>2902.5</v>
      </c>
      <c r="F9" s="40">
        <v>3086.3</v>
      </c>
      <c r="G9" s="40">
        <v>3162.43</v>
      </c>
      <c r="H9" s="40">
        <v>2915.14</v>
      </c>
    </row>
    <row r="10" spans="1:8" ht="16.5" customHeight="1">
      <c r="A10" s="34"/>
      <c r="B10" s="33"/>
      <c r="C10" s="33"/>
      <c r="D10" s="33"/>
      <c r="E10" s="33"/>
      <c r="F10" s="33"/>
      <c r="G10" s="33"/>
      <c r="H10" s="33"/>
    </row>
    <row r="11" spans="1:8" ht="16.5" customHeight="1">
      <c r="A11" s="26" t="s">
        <v>123</v>
      </c>
      <c r="B11" s="33"/>
      <c r="C11" s="33"/>
      <c r="D11" s="33"/>
      <c r="E11" s="33"/>
      <c r="F11" s="33"/>
      <c r="G11" s="33"/>
      <c r="H11" s="33"/>
    </row>
    <row r="12" spans="1:8" ht="16.5" customHeight="1">
      <c r="A12" s="36" t="s">
        <v>397</v>
      </c>
      <c r="B12" s="33"/>
      <c r="C12" s="228">
        <v>172.96</v>
      </c>
      <c r="D12" s="228">
        <v>172.74</v>
      </c>
      <c r="E12" s="228">
        <v>221.34</v>
      </c>
      <c r="F12" s="228">
        <v>282.32</v>
      </c>
      <c r="G12" s="228">
        <v>325.64</v>
      </c>
      <c r="H12" s="228">
        <v>302.41</v>
      </c>
    </row>
    <row r="13" spans="1:8" ht="16.5" customHeight="1">
      <c r="A13" s="36" t="s">
        <v>398</v>
      </c>
      <c r="B13" s="33"/>
      <c r="C13" s="40">
        <v>111.45</v>
      </c>
      <c r="D13" s="40">
        <v>127.32</v>
      </c>
      <c r="E13" s="40">
        <v>164.23</v>
      </c>
      <c r="F13" s="40">
        <v>183.25</v>
      </c>
      <c r="G13" s="40">
        <v>202.22</v>
      </c>
      <c r="H13" s="40">
        <v>216.75</v>
      </c>
    </row>
    <row r="14" spans="1:8" ht="16.5" customHeight="1">
      <c r="A14" s="36"/>
      <c r="B14" s="33"/>
      <c r="C14" s="40"/>
      <c r="D14" s="40"/>
      <c r="E14" s="40"/>
      <c r="F14" s="40"/>
      <c r="G14" s="40"/>
      <c r="H14" s="40"/>
    </row>
    <row r="15" spans="1:8" ht="16.5" customHeight="1">
      <c r="A15" s="87" t="s">
        <v>374</v>
      </c>
      <c r="B15" s="33"/>
      <c r="C15" s="8">
        <f aca="true" t="shared" si="0" ref="C15:H15">+C12+C13</f>
        <v>284.41</v>
      </c>
      <c r="D15" s="8">
        <f t="shared" si="0"/>
        <v>300.06</v>
      </c>
      <c r="E15" s="8">
        <f t="shared" si="0"/>
        <v>385.57</v>
      </c>
      <c r="F15" s="8">
        <f t="shared" si="0"/>
        <v>465.57</v>
      </c>
      <c r="G15" s="8">
        <f t="shared" si="0"/>
        <v>527.86</v>
      </c>
      <c r="H15" s="8">
        <f t="shared" si="0"/>
        <v>519.1600000000001</v>
      </c>
    </row>
    <row r="16" spans="1:8" ht="16.5" customHeight="1">
      <c r="A16" s="36"/>
      <c r="B16" s="33"/>
      <c r="C16" s="33"/>
      <c r="D16" s="33"/>
      <c r="E16" s="33"/>
      <c r="F16" s="33"/>
      <c r="G16" s="33"/>
      <c r="H16" s="33"/>
    </row>
    <row r="17" spans="1:8" ht="16.5" customHeight="1">
      <c r="A17" s="50" t="s">
        <v>124</v>
      </c>
      <c r="B17" s="33"/>
      <c r="C17" s="40">
        <f>'1.1a(GFA)'!D32</f>
        <v>1112.07</v>
      </c>
      <c r="D17" s="40">
        <f>+'1.1a(GFA)'!D64</f>
        <v>1424.12</v>
      </c>
      <c r="E17" s="40">
        <f>+'1.1a(GFA)'!D96</f>
        <v>2547.2</v>
      </c>
      <c r="F17" s="40">
        <f>+'1.1a(GFA)'!D128</f>
        <v>3719.7</v>
      </c>
      <c r="G17" s="40">
        <f>+'1.1a(GFA)'!D160</f>
        <v>4880.59</v>
      </c>
      <c r="H17" s="40">
        <f>+'1.1a(GFA)'!D192</f>
        <v>4214.37</v>
      </c>
    </row>
    <row r="18" spans="1:8" ht="16.5" customHeight="1">
      <c r="A18" s="35" t="s">
        <v>489</v>
      </c>
      <c r="B18" s="33"/>
      <c r="C18" s="33"/>
      <c r="D18" s="33"/>
      <c r="E18" s="33"/>
      <c r="F18" s="33"/>
      <c r="G18" s="33"/>
      <c r="H18" s="33"/>
    </row>
    <row r="19" spans="1:8" ht="16.5" customHeight="1">
      <c r="A19" s="37" t="s">
        <v>125</v>
      </c>
      <c r="B19" s="33"/>
      <c r="C19" s="8">
        <f aca="true" t="shared" si="1" ref="C19:H19">+C8+C9+C15-C17+C18</f>
        <v>2346.3500000000013</v>
      </c>
      <c r="D19" s="8">
        <f t="shared" si="1"/>
        <v>2694.5200000000013</v>
      </c>
      <c r="E19" s="8">
        <f t="shared" si="1"/>
        <v>3435.3900000000012</v>
      </c>
      <c r="F19" s="8">
        <f t="shared" si="1"/>
        <v>3267.5600000000013</v>
      </c>
      <c r="G19" s="8">
        <f t="shared" si="1"/>
        <v>2077.260000000001</v>
      </c>
      <c r="H19" s="8">
        <f t="shared" si="1"/>
        <v>1297.1900000000014</v>
      </c>
    </row>
  </sheetData>
  <sheetProtection/>
  <mergeCells count="1">
    <mergeCell ref="E5:F5"/>
  </mergeCells>
  <dataValidations count="1">
    <dataValidation type="decimal" allowBlank="1" showInputMessage="1" showErrorMessage="1" error="Enter in number format only" sqref="B6">
      <formula1>-1000000000000000</formula1>
      <formula2>100000000000000000</formula2>
    </dataValidation>
  </dataValidations>
  <printOptions horizontalCentered="1"/>
  <pageMargins left="0.42" right="0.33"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AF220"/>
  <sheetViews>
    <sheetView zoomScale="70" zoomScaleNormal="70" zoomScalePageLayoutView="0" workbookViewId="0" topLeftCell="A28">
      <selection activeCell="X6" sqref="X6:AA6"/>
    </sheetView>
  </sheetViews>
  <sheetFormatPr defaultColWidth="9.140625" defaultRowHeight="12.75"/>
  <cols>
    <col min="1" max="1" width="16.00390625" style="0" customWidth="1"/>
    <col min="2" max="2" width="7.7109375" style="0" customWidth="1"/>
    <col min="3" max="3" width="10.140625" style="0" customWidth="1"/>
    <col min="4" max="4" width="11.8515625" style="0" customWidth="1"/>
    <col min="5" max="5" width="12.421875" style="0" customWidth="1"/>
    <col min="6" max="6" width="6.7109375" style="0" customWidth="1"/>
    <col min="7" max="7" width="8.421875" style="0" customWidth="1"/>
    <col min="8" max="8" width="5.28125" style="0" customWidth="1"/>
    <col min="9" max="9" width="6.28125" style="0" customWidth="1"/>
    <col min="10" max="10" width="8.28125" style="0" customWidth="1"/>
    <col min="11" max="11" width="11.7109375" style="0" customWidth="1"/>
    <col min="12" max="12" width="10.00390625" style="0" customWidth="1"/>
    <col min="13" max="13" width="12.57421875" style="0" customWidth="1"/>
    <col min="14" max="14" width="13.140625" style="0" customWidth="1"/>
    <col min="17" max="17" width="11.7109375" style="0" customWidth="1"/>
    <col min="20" max="20" width="11.00390625" style="0" customWidth="1"/>
    <col min="21" max="21" width="10.8515625" style="0" customWidth="1"/>
    <col min="22" max="22" width="10.28125" style="0" customWidth="1"/>
    <col min="23" max="23" width="13.28125" style="0" customWidth="1"/>
    <col min="24" max="24" width="10.8515625" style="0" bestFit="1" customWidth="1"/>
    <col min="25" max="25" width="8.57421875" style="0" bestFit="1" customWidth="1"/>
    <col min="26" max="26" width="8.7109375" style="0" bestFit="1" customWidth="1"/>
    <col min="27" max="27" width="13.00390625" style="0" customWidth="1"/>
    <col min="28" max="28" width="10.8515625" style="0" bestFit="1" customWidth="1"/>
    <col min="29" max="29" width="8.57421875" style="0" bestFit="1" customWidth="1"/>
    <col min="30" max="30" width="8.7109375" style="0" bestFit="1" customWidth="1"/>
    <col min="31" max="31" width="13.28125" style="0" customWidth="1"/>
    <col min="32" max="32" width="8.8515625" style="0" bestFit="1" customWidth="1"/>
  </cols>
  <sheetData>
    <row r="1" spans="1:32" ht="12.75">
      <c r="A1" s="435" t="s">
        <v>322</v>
      </c>
      <c r="B1" s="435"/>
      <c r="C1" s="32" t="s">
        <v>323</v>
      </c>
      <c r="D1" s="103"/>
      <c r="E1" s="103"/>
      <c r="F1" s="23"/>
      <c r="G1" s="23"/>
      <c r="H1" s="23"/>
      <c r="I1" s="23"/>
      <c r="J1" s="23"/>
      <c r="K1" s="23"/>
      <c r="L1" s="23"/>
      <c r="M1" s="23"/>
      <c r="N1" s="23"/>
      <c r="O1" s="23"/>
      <c r="P1" s="23"/>
      <c r="Q1" s="23"/>
      <c r="R1" s="10"/>
      <c r="S1" s="10"/>
      <c r="T1" s="10"/>
      <c r="U1" s="10"/>
      <c r="V1" s="10"/>
      <c r="W1" s="10"/>
      <c r="X1" s="10"/>
      <c r="Y1" s="10"/>
      <c r="Z1" s="23"/>
      <c r="AA1" s="23"/>
      <c r="AB1" s="23"/>
      <c r="AC1" s="23"/>
      <c r="AD1" s="23"/>
      <c r="AE1" s="23"/>
      <c r="AF1" s="10"/>
    </row>
    <row r="2" spans="1:32" ht="12.75">
      <c r="A2" s="61"/>
      <c r="B2" s="61"/>
      <c r="C2" s="28"/>
      <c r="D2" s="104"/>
      <c r="E2" s="103"/>
      <c r="F2" s="61"/>
      <c r="G2" s="61"/>
      <c r="H2" s="61"/>
      <c r="I2" s="61"/>
      <c r="J2" s="61"/>
      <c r="K2" s="61"/>
      <c r="L2" s="61"/>
      <c r="M2" s="61"/>
      <c r="N2" s="61"/>
      <c r="O2" s="61"/>
      <c r="P2" s="61"/>
      <c r="Q2" s="61"/>
      <c r="R2" s="10"/>
      <c r="S2" s="10"/>
      <c r="T2" s="10"/>
      <c r="U2" s="10"/>
      <c r="V2" s="10"/>
      <c r="W2" s="10"/>
      <c r="X2" s="10"/>
      <c r="Y2" s="10"/>
      <c r="Z2" s="61"/>
      <c r="AA2" s="61"/>
      <c r="AB2" s="61"/>
      <c r="AC2" s="61"/>
      <c r="AD2" s="61"/>
      <c r="AE2" s="61"/>
      <c r="AF2" s="10"/>
    </row>
    <row r="3" spans="1:32" ht="12.75">
      <c r="A3" s="61" t="s">
        <v>18</v>
      </c>
      <c r="B3" s="61"/>
      <c r="C3" s="61"/>
      <c r="D3" s="104"/>
      <c r="E3" s="103"/>
      <c r="F3" s="61"/>
      <c r="G3" s="61"/>
      <c r="H3" s="61"/>
      <c r="I3" s="61"/>
      <c r="J3" s="61"/>
      <c r="K3" s="61"/>
      <c r="L3" s="61"/>
      <c r="M3" s="61"/>
      <c r="N3" s="61"/>
      <c r="O3" s="61"/>
      <c r="P3" s="61"/>
      <c r="Q3" s="61"/>
      <c r="R3" s="10"/>
      <c r="S3" s="10"/>
      <c r="T3" s="10"/>
      <c r="U3" s="10"/>
      <c r="V3" s="10"/>
      <c r="W3" s="10"/>
      <c r="X3" s="10"/>
      <c r="Y3" s="10"/>
      <c r="Z3" s="61"/>
      <c r="AA3" s="61"/>
      <c r="AB3" s="61"/>
      <c r="AC3" s="61"/>
      <c r="AD3" s="61"/>
      <c r="AE3" s="61"/>
      <c r="AF3" s="10"/>
    </row>
    <row r="4" spans="1:32" ht="12.75">
      <c r="A4" s="10"/>
      <c r="B4" s="10"/>
      <c r="C4" s="10"/>
      <c r="D4" s="77"/>
      <c r="E4" s="105"/>
      <c r="F4" s="10"/>
      <c r="G4" s="10"/>
      <c r="H4" s="10"/>
      <c r="I4" s="10"/>
      <c r="J4" s="10"/>
      <c r="K4" s="10"/>
      <c r="L4" s="10"/>
      <c r="M4" s="10" t="s">
        <v>375</v>
      </c>
      <c r="N4" s="10"/>
      <c r="O4" s="10"/>
      <c r="P4" s="10"/>
      <c r="Q4" s="10"/>
      <c r="R4" s="10"/>
      <c r="S4" s="10"/>
      <c r="T4" s="10"/>
      <c r="U4" s="10"/>
      <c r="V4" s="10"/>
      <c r="W4" s="10"/>
      <c r="X4" s="10"/>
      <c r="Y4" s="62"/>
      <c r="Z4" s="10"/>
      <c r="AA4" s="10"/>
      <c r="AB4" s="10"/>
      <c r="AC4" s="10"/>
      <c r="AD4" s="10"/>
      <c r="AE4" s="10"/>
      <c r="AF4" s="10"/>
    </row>
    <row r="5" spans="1:32" s="113" customFormat="1" ht="12.75">
      <c r="A5" s="430" t="s">
        <v>324</v>
      </c>
      <c r="B5" s="430"/>
      <c r="C5" s="430"/>
      <c r="D5" s="430"/>
      <c r="E5" s="430"/>
      <c r="F5" s="430" t="s">
        <v>325</v>
      </c>
      <c r="G5" s="432"/>
      <c r="H5" s="432"/>
      <c r="I5" s="432"/>
      <c r="J5" s="432"/>
      <c r="K5" s="432"/>
      <c r="L5" s="432"/>
      <c r="M5" s="430" t="s">
        <v>326</v>
      </c>
      <c r="N5" s="433"/>
      <c r="O5" s="433"/>
      <c r="P5" s="433"/>
      <c r="Q5" s="433"/>
      <c r="R5" s="433"/>
      <c r="S5" s="433"/>
      <c r="T5" s="428" t="s">
        <v>327</v>
      </c>
      <c r="U5" s="428"/>
      <c r="V5" s="428"/>
      <c r="W5" s="428"/>
      <c r="X5" s="428" t="s">
        <v>328</v>
      </c>
      <c r="Y5" s="428"/>
      <c r="Z5" s="428" t="s">
        <v>329</v>
      </c>
      <c r="AA5" s="428"/>
      <c r="AB5" s="428" t="s">
        <v>330</v>
      </c>
      <c r="AC5" s="428"/>
      <c r="AD5" s="428" t="s">
        <v>329</v>
      </c>
      <c r="AE5" s="428"/>
      <c r="AF5" s="434" t="s">
        <v>107</v>
      </c>
    </row>
    <row r="6" spans="1:32" s="113" customFormat="1" ht="12.75">
      <c r="A6" s="430" t="s">
        <v>331</v>
      </c>
      <c r="B6" s="430" t="s">
        <v>332</v>
      </c>
      <c r="C6" s="430" t="s">
        <v>333</v>
      </c>
      <c r="D6" s="429" t="s">
        <v>411</v>
      </c>
      <c r="E6" s="429" t="s">
        <v>370</v>
      </c>
      <c r="F6" s="430" t="s">
        <v>334</v>
      </c>
      <c r="G6" s="430" t="s">
        <v>335</v>
      </c>
      <c r="H6" s="430" t="s">
        <v>336</v>
      </c>
      <c r="I6" s="430" t="s">
        <v>337</v>
      </c>
      <c r="J6" s="430" t="s">
        <v>338</v>
      </c>
      <c r="K6" s="430" t="s">
        <v>339</v>
      </c>
      <c r="L6" s="430" t="s">
        <v>356</v>
      </c>
      <c r="M6" s="430" t="s">
        <v>340</v>
      </c>
      <c r="N6" s="430" t="s">
        <v>341</v>
      </c>
      <c r="O6" s="430" t="s">
        <v>342</v>
      </c>
      <c r="P6" s="430"/>
      <c r="Q6" s="430"/>
      <c r="R6" s="430"/>
      <c r="S6" s="430"/>
      <c r="T6" s="428" t="s">
        <v>343</v>
      </c>
      <c r="U6" s="428"/>
      <c r="V6" s="428"/>
      <c r="W6" s="428"/>
      <c r="X6" s="428" t="s">
        <v>343</v>
      </c>
      <c r="Y6" s="428"/>
      <c r="Z6" s="428"/>
      <c r="AA6" s="428"/>
      <c r="AB6" s="428"/>
      <c r="AC6" s="428"/>
      <c r="AD6" s="428"/>
      <c r="AE6" s="428"/>
      <c r="AF6" s="434"/>
    </row>
    <row r="7" spans="1:32" s="113" customFormat="1" ht="51">
      <c r="A7" s="430"/>
      <c r="B7" s="430"/>
      <c r="C7" s="430"/>
      <c r="D7" s="429"/>
      <c r="E7" s="429"/>
      <c r="F7" s="431"/>
      <c r="G7" s="431"/>
      <c r="H7" s="431"/>
      <c r="I7" s="431"/>
      <c r="J7" s="431"/>
      <c r="K7" s="431"/>
      <c r="L7" s="431"/>
      <c r="M7" s="432"/>
      <c r="N7" s="430"/>
      <c r="O7" s="107" t="s">
        <v>344</v>
      </c>
      <c r="P7" s="107" t="s">
        <v>345</v>
      </c>
      <c r="Q7" s="107" t="s">
        <v>346</v>
      </c>
      <c r="R7" s="107" t="s">
        <v>347</v>
      </c>
      <c r="S7" s="107" t="s">
        <v>348</v>
      </c>
      <c r="T7" s="107" t="s">
        <v>349</v>
      </c>
      <c r="U7" s="107" t="s">
        <v>350</v>
      </c>
      <c r="V7" s="107" t="s">
        <v>351</v>
      </c>
      <c r="W7" s="107" t="s">
        <v>352</v>
      </c>
      <c r="X7" s="107" t="s">
        <v>353</v>
      </c>
      <c r="Y7" s="107" t="s">
        <v>354</v>
      </c>
      <c r="Z7" s="107" t="s">
        <v>355</v>
      </c>
      <c r="AA7" s="107" t="s">
        <v>352</v>
      </c>
      <c r="AB7" s="107" t="s">
        <v>353</v>
      </c>
      <c r="AC7" s="107" t="s">
        <v>354</v>
      </c>
      <c r="AD7" s="107" t="s">
        <v>355</v>
      </c>
      <c r="AE7" s="107" t="s">
        <v>352</v>
      </c>
      <c r="AF7" s="434"/>
    </row>
    <row r="8" spans="1:32" ht="12.7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32" ht="12.7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row>
    <row r="10" spans="1:32" ht="12.7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32" ht="12.7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row r="12" spans="1:32" ht="12.7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2" ht="12.7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ht="12.7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1:32" ht="12.7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12.7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row>
    <row r="17" spans="1:32" ht="12.7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12.7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row>
    <row r="19" spans="1:32" ht="12.7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row>
    <row r="20" spans="1:32" ht="12.75">
      <c r="A20" s="7"/>
      <c r="B20" s="7"/>
      <c r="C20" s="7"/>
      <c r="D20" s="7"/>
      <c r="E20" s="7"/>
      <c r="F20" s="8">
        <f>SUM(F8:F19)</f>
        <v>0</v>
      </c>
      <c r="G20" s="8">
        <f aca="true" t="shared" si="0" ref="G20:AE20">SUM(G8:G19)</f>
        <v>0</v>
      </c>
      <c r="H20" s="8">
        <f t="shared" si="0"/>
        <v>0</v>
      </c>
      <c r="I20" s="8">
        <f t="shared" si="0"/>
        <v>0</v>
      </c>
      <c r="J20" s="8">
        <f t="shared" si="0"/>
        <v>0</v>
      </c>
      <c r="K20" s="8">
        <f t="shared" si="0"/>
        <v>0</v>
      </c>
      <c r="L20" s="8">
        <f t="shared" si="0"/>
        <v>0</v>
      </c>
      <c r="M20" s="8">
        <f t="shared" si="0"/>
        <v>0</v>
      </c>
      <c r="N20" s="8">
        <f t="shared" si="0"/>
        <v>0</v>
      </c>
      <c r="O20" s="8">
        <f t="shared" si="0"/>
        <v>0</v>
      </c>
      <c r="P20" s="8">
        <f t="shared" si="0"/>
        <v>0</v>
      </c>
      <c r="Q20" s="8">
        <f t="shared" si="0"/>
        <v>0</v>
      </c>
      <c r="R20" s="8">
        <f t="shared" si="0"/>
        <v>0</v>
      </c>
      <c r="S20" s="8">
        <f t="shared" si="0"/>
        <v>0</v>
      </c>
      <c r="T20" s="8">
        <f t="shared" si="0"/>
        <v>0</v>
      </c>
      <c r="U20" s="8">
        <f t="shared" si="0"/>
        <v>0</v>
      </c>
      <c r="V20" s="8">
        <f t="shared" si="0"/>
        <v>0</v>
      </c>
      <c r="W20" s="8">
        <f t="shared" si="0"/>
        <v>0</v>
      </c>
      <c r="X20" s="159">
        <f>9726.25-8979.24+2329.83-1704.34-Y20-Z20-4.55+0.54</f>
        <v>1151.8400000000004</v>
      </c>
      <c r="Y20" s="159">
        <v>115.53</v>
      </c>
      <c r="Z20" s="159">
        <v>101.12</v>
      </c>
      <c r="AA20" s="8">
        <f t="shared" si="0"/>
        <v>0</v>
      </c>
      <c r="AB20" s="8">
        <f t="shared" si="0"/>
        <v>0</v>
      </c>
      <c r="AC20" s="8">
        <f t="shared" si="0"/>
        <v>0</v>
      </c>
      <c r="AD20" s="8">
        <f t="shared" si="0"/>
        <v>0</v>
      </c>
      <c r="AE20" s="8">
        <f t="shared" si="0"/>
        <v>0</v>
      </c>
      <c r="AF20" s="7"/>
    </row>
    <row r="21" ht="12.75">
      <c r="X21" s="20">
        <f>9726.25-8979.24+2329.83-1704.34</f>
        <v>1372.5000000000002</v>
      </c>
    </row>
    <row r="23" spans="1:32" ht="12.75">
      <c r="A23" s="61" t="s">
        <v>19</v>
      </c>
      <c r="B23" s="61"/>
      <c r="C23" s="61"/>
      <c r="D23" s="104"/>
      <c r="E23" s="103"/>
      <c r="F23" s="61"/>
      <c r="G23" s="61"/>
      <c r="H23" s="61"/>
      <c r="I23" s="61"/>
      <c r="J23" s="61"/>
      <c r="K23" s="61"/>
      <c r="L23" s="61"/>
      <c r="M23" s="61"/>
      <c r="N23" s="61"/>
      <c r="O23" s="61"/>
      <c r="P23" s="61"/>
      <c r="Q23" s="61"/>
      <c r="R23" s="10"/>
      <c r="S23" s="10"/>
      <c r="T23" s="10"/>
      <c r="U23" s="10"/>
      <c r="V23" s="10"/>
      <c r="W23" s="10"/>
      <c r="X23" s="10"/>
      <c r="Y23" s="10"/>
      <c r="Z23" s="61"/>
      <c r="AA23" s="61"/>
      <c r="AB23" s="61"/>
      <c r="AC23" s="61"/>
      <c r="AD23" s="61"/>
      <c r="AE23" s="61"/>
      <c r="AF23" s="10"/>
    </row>
    <row r="24" spans="1:32" ht="12.75">
      <c r="A24" s="10"/>
      <c r="B24" s="10"/>
      <c r="C24" s="10"/>
      <c r="D24" s="77"/>
      <c r="E24" s="105"/>
      <c r="F24" s="10"/>
      <c r="G24" s="10"/>
      <c r="H24" s="10"/>
      <c r="I24" s="10"/>
      <c r="J24" s="10"/>
      <c r="K24" s="10"/>
      <c r="L24" s="10"/>
      <c r="M24" s="10" t="s">
        <v>375</v>
      </c>
      <c r="N24" s="10"/>
      <c r="O24" s="10"/>
      <c r="P24" s="10"/>
      <c r="Q24" s="10"/>
      <c r="R24" s="10"/>
      <c r="S24" s="10"/>
      <c r="T24" s="10"/>
      <c r="U24" s="10"/>
      <c r="V24" s="10"/>
      <c r="W24" s="10"/>
      <c r="X24" s="10"/>
      <c r="Y24" s="62"/>
      <c r="Z24" s="10"/>
      <c r="AA24" s="10"/>
      <c r="AB24" s="10"/>
      <c r="AC24" s="10"/>
      <c r="AD24" s="10"/>
      <c r="AE24" s="10"/>
      <c r="AF24" s="10"/>
    </row>
    <row r="25" spans="1:32" ht="12.75">
      <c r="A25" s="430" t="s">
        <v>324</v>
      </c>
      <c r="B25" s="430"/>
      <c r="C25" s="430"/>
      <c r="D25" s="430"/>
      <c r="E25" s="430"/>
      <c r="F25" s="430" t="s">
        <v>325</v>
      </c>
      <c r="G25" s="432"/>
      <c r="H25" s="432"/>
      <c r="I25" s="432"/>
      <c r="J25" s="432"/>
      <c r="K25" s="432"/>
      <c r="L25" s="432"/>
      <c r="M25" s="430" t="s">
        <v>326</v>
      </c>
      <c r="N25" s="433"/>
      <c r="O25" s="433"/>
      <c r="P25" s="433"/>
      <c r="Q25" s="433"/>
      <c r="R25" s="433"/>
      <c r="S25" s="433"/>
      <c r="T25" s="428" t="s">
        <v>327</v>
      </c>
      <c r="U25" s="428"/>
      <c r="V25" s="428"/>
      <c r="W25" s="428"/>
      <c r="X25" s="428" t="s">
        <v>328</v>
      </c>
      <c r="Y25" s="428"/>
      <c r="Z25" s="428" t="s">
        <v>329</v>
      </c>
      <c r="AA25" s="428"/>
      <c r="AB25" s="428" t="s">
        <v>330</v>
      </c>
      <c r="AC25" s="428"/>
      <c r="AD25" s="428" t="s">
        <v>329</v>
      </c>
      <c r="AE25" s="428"/>
      <c r="AF25" s="434" t="s">
        <v>107</v>
      </c>
    </row>
    <row r="26" spans="1:32" ht="12.75">
      <c r="A26" s="430" t="s">
        <v>331</v>
      </c>
      <c r="B26" s="430" t="s">
        <v>332</v>
      </c>
      <c r="C26" s="430" t="s">
        <v>333</v>
      </c>
      <c r="D26" s="429" t="s">
        <v>371</v>
      </c>
      <c r="E26" s="429" t="s">
        <v>370</v>
      </c>
      <c r="F26" s="430" t="s">
        <v>334</v>
      </c>
      <c r="G26" s="430" t="s">
        <v>335</v>
      </c>
      <c r="H26" s="430" t="s">
        <v>336</v>
      </c>
      <c r="I26" s="430" t="s">
        <v>337</v>
      </c>
      <c r="J26" s="430" t="s">
        <v>338</v>
      </c>
      <c r="K26" s="430" t="s">
        <v>339</v>
      </c>
      <c r="L26" s="430" t="s">
        <v>356</v>
      </c>
      <c r="M26" s="430" t="s">
        <v>340</v>
      </c>
      <c r="N26" s="430" t="s">
        <v>341</v>
      </c>
      <c r="O26" s="430" t="s">
        <v>342</v>
      </c>
      <c r="P26" s="430"/>
      <c r="Q26" s="430"/>
      <c r="R26" s="430"/>
      <c r="S26" s="430"/>
      <c r="T26" s="428" t="s">
        <v>343</v>
      </c>
      <c r="U26" s="428"/>
      <c r="V26" s="428"/>
      <c r="W26" s="428"/>
      <c r="X26" s="428" t="s">
        <v>343</v>
      </c>
      <c r="Y26" s="428"/>
      <c r="Z26" s="428"/>
      <c r="AA26" s="428"/>
      <c r="AB26" s="428"/>
      <c r="AC26" s="428"/>
      <c r="AD26" s="428"/>
      <c r="AE26" s="428"/>
      <c r="AF26" s="434"/>
    </row>
    <row r="27" spans="1:32" ht="51">
      <c r="A27" s="430"/>
      <c r="B27" s="430"/>
      <c r="C27" s="430"/>
      <c r="D27" s="429"/>
      <c r="E27" s="429"/>
      <c r="F27" s="431"/>
      <c r="G27" s="431"/>
      <c r="H27" s="431"/>
      <c r="I27" s="431"/>
      <c r="J27" s="431"/>
      <c r="K27" s="431"/>
      <c r="L27" s="431"/>
      <c r="M27" s="432"/>
      <c r="N27" s="430"/>
      <c r="O27" s="107" t="s">
        <v>344</v>
      </c>
      <c r="P27" s="107" t="s">
        <v>345</v>
      </c>
      <c r="Q27" s="107" t="s">
        <v>346</v>
      </c>
      <c r="R27" s="107" t="s">
        <v>347</v>
      </c>
      <c r="S27" s="107" t="s">
        <v>348</v>
      </c>
      <c r="T27" s="107" t="s">
        <v>349</v>
      </c>
      <c r="U27" s="107" t="s">
        <v>350</v>
      </c>
      <c r="V27" s="107" t="s">
        <v>351</v>
      </c>
      <c r="W27" s="107" t="s">
        <v>352</v>
      </c>
      <c r="X27" s="107" t="s">
        <v>353</v>
      </c>
      <c r="Y27" s="107" t="s">
        <v>354</v>
      </c>
      <c r="Z27" s="107" t="s">
        <v>355</v>
      </c>
      <c r="AA27" s="107" t="s">
        <v>352</v>
      </c>
      <c r="AB27" s="107" t="s">
        <v>353</v>
      </c>
      <c r="AC27" s="107" t="s">
        <v>354</v>
      </c>
      <c r="AD27" s="107" t="s">
        <v>355</v>
      </c>
      <c r="AE27" s="107" t="s">
        <v>352</v>
      </c>
      <c r="AF27" s="434"/>
    </row>
    <row r="28" spans="1:32" ht="12.7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row>
    <row r="29" spans="1:32" ht="12.7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row>
    <row r="30" spans="1:32" ht="12.7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row>
    <row r="31" spans="1:32" ht="12.7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row>
    <row r="32" spans="1:32" ht="12.7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spans="1:32" ht="12.7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2" ht="12.7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row>
    <row r="35" spans="1:32" ht="12.7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row>
    <row r="36" spans="1:32" ht="12.7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2" ht="12.7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t="12.7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2.7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2.75">
      <c r="A40" s="7"/>
      <c r="B40" s="7"/>
      <c r="C40" s="7"/>
      <c r="D40" s="7"/>
      <c r="E40" s="7"/>
      <c r="F40" s="8">
        <f aca="true" t="shared" si="1" ref="F40:AE40">SUM(F28:F39)</f>
        <v>0</v>
      </c>
      <c r="G40" s="8">
        <f t="shared" si="1"/>
        <v>0</v>
      </c>
      <c r="H40" s="8">
        <f t="shared" si="1"/>
        <v>0</v>
      </c>
      <c r="I40" s="8">
        <f t="shared" si="1"/>
        <v>0</v>
      </c>
      <c r="J40" s="8">
        <f t="shared" si="1"/>
        <v>0</v>
      </c>
      <c r="K40" s="8">
        <f t="shared" si="1"/>
        <v>0</v>
      </c>
      <c r="L40" s="8">
        <f t="shared" si="1"/>
        <v>0</v>
      </c>
      <c r="M40" s="8">
        <f t="shared" si="1"/>
        <v>0</v>
      </c>
      <c r="N40" s="8">
        <f t="shared" si="1"/>
        <v>0</v>
      </c>
      <c r="O40" s="8">
        <f t="shared" si="1"/>
        <v>0</v>
      </c>
      <c r="P40" s="8">
        <f t="shared" si="1"/>
        <v>0</v>
      </c>
      <c r="Q40" s="8">
        <f t="shared" si="1"/>
        <v>0</v>
      </c>
      <c r="R40" s="8">
        <f t="shared" si="1"/>
        <v>0</v>
      </c>
      <c r="S40" s="8">
        <f t="shared" si="1"/>
        <v>0</v>
      </c>
      <c r="T40" s="8">
        <f t="shared" si="1"/>
        <v>0</v>
      </c>
      <c r="U40" s="8">
        <f t="shared" si="1"/>
        <v>0</v>
      </c>
      <c r="V40" s="8">
        <f t="shared" si="1"/>
        <v>0</v>
      </c>
      <c r="W40" s="8">
        <f t="shared" si="1"/>
        <v>0</v>
      </c>
      <c r="X40" s="159">
        <f>2329.83-1293.92+9878.14-5647.77-Y40-Z40-3.33-1645.96</f>
        <v>3449.9799999999987</v>
      </c>
      <c r="Y40" s="159">
        <v>78</v>
      </c>
      <c r="Z40" s="159">
        <v>89.01</v>
      </c>
      <c r="AA40" s="8">
        <f t="shared" si="1"/>
        <v>0</v>
      </c>
      <c r="AB40" s="8">
        <f t="shared" si="1"/>
        <v>0</v>
      </c>
      <c r="AC40" s="8">
        <f t="shared" si="1"/>
        <v>0</v>
      </c>
      <c r="AD40" s="8">
        <f t="shared" si="1"/>
        <v>0</v>
      </c>
      <c r="AE40" s="8">
        <f t="shared" si="1"/>
        <v>0</v>
      </c>
      <c r="AF40" s="7"/>
    </row>
    <row r="42" ht="12.75">
      <c r="X42">
        <v>1031.23</v>
      </c>
    </row>
    <row r="43" spans="1:32" ht="12.75">
      <c r="A43" s="61" t="s">
        <v>20</v>
      </c>
      <c r="B43" s="61"/>
      <c r="C43" s="61"/>
      <c r="D43" s="104"/>
      <c r="E43" s="103"/>
      <c r="F43" s="61"/>
      <c r="G43" s="61"/>
      <c r="H43" s="61"/>
      <c r="I43" s="61"/>
      <c r="J43" s="61"/>
      <c r="K43" s="61"/>
      <c r="L43" s="61"/>
      <c r="M43" s="61"/>
      <c r="N43" s="61"/>
      <c r="O43" s="61"/>
      <c r="P43" s="61"/>
      <c r="Q43" s="61"/>
      <c r="R43" s="10"/>
      <c r="S43" s="10"/>
      <c r="T43" s="10"/>
      <c r="U43" s="10"/>
      <c r="V43" s="10"/>
      <c r="W43" s="10"/>
      <c r="X43" s="10"/>
      <c r="Y43" s="10"/>
      <c r="Z43" s="61"/>
      <c r="AA43" s="61"/>
      <c r="AB43" s="61"/>
      <c r="AC43" s="61"/>
      <c r="AD43" s="61"/>
      <c r="AE43" s="61"/>
      <c r="AF43" s="10"/>
    </row>
    <row r="44" spans="1:32" ht="12.75">
      <c r="A44" s="10"/>
      <c r="B44" s="10"/>
      <c r="C44" s="10"/>
      <c r="D44" s="77"/>
      <c r="E44" s="105"/>
      <c r="F44" s="10"/>
      <c r="G44" s="10"/>
      <c r="H44" s="10"/>
      <c r="I44" s="10"/>
      <c r="J44" s="10"/>
      <c r="K44" s="10"/>
      <c r="L44" s="10"/>
      <c r="M44" s="10" t="s">
        <v>375</v>
      </c>
      <c r="N44" s="10"/>
      <c r="O44" s="10"/>
      <c r="P44" s="10"/>
      <c r="Q44" s="10"/>
      <c r="R44" s="10"/>
      <c r="S44" s="10"/>
      <c r="T44" s="10"/>
      <c r="U44" s="10"/>
      <c r="V44" s="10"/>
      <c r="W44" s="10"/>
      <c r="X44" s="10"/>
      <c r="Y44" s="62"/>
      <c r="Z44" s="10"/>
      <c r="AA44" s="10"/>
      <c r="AB44" s="10"/>
      <c r="AC44" s="10"/>
      <c r="AD44" s="10"/>
      <c r="AE44" s="10"/>
      <c r="AF44" s="10"/>
    </row>
    <row r="45" spans="1:32" ht="12.75">
      <c r="A45" s="430" t="s">
        <v>324</v>
      </c>
      <c r="B45" s="430"/>
      <c r="C45" s="430"/>
      <c r="D45" s="430"/>
      <c r="E45" s="430"/>
      <c r="F45" s="430" t="s">
        <v>325</v>
      </c>
      <c r="G45" s="432"/>
      <c r="H45" s="432"/>
      <c r="I45" s="432"/>
      <c r="J45" s="432"/>
      <c r="K45" s="432"/>
      <c r="L45" s="432"/>
      <c r="M45" s="430" t="s">
        <v>326</v>
      </c>
      <c r="N45" s="433"/>
      <c r="O45" s="433"/>
      <c r="P45" s="433"/>
      <c r="Q45" s="433"/>
      <c r="R45" s="433"/>
      <c r="S45" s="433"/>
      <c r="T45" s="428" t="s">
        <v>327</v>
      </c>
      <c r="U45" s="428"/>
      <c r="V45" s="428"/>
      <c r="W45" s="428"/>
      <c r="X45" s="428" t="s">
        <v>328</v>
      </c>
      <c r="Y45" s="428"/>
      <c r="Z45" s="428" t="s">
        <v>329</v>
      </c>
      <c r="AA45" s="428"/>
      <c r="AB45" s="428" t="s">
        <v>330</v>
      </c>
      <c r="AC45" s="428"/>
      <c r="AD45" s="428" t="s">
        <v>329</v>
      </c>
      <c r="AE45" s="428"/>
      <c r="AF45" s="434" t="s">
        <v>107</v>
      </c>
    </row>
    <row r="46" spans="1:32" ht="12.75">
      <c r="A46" s="430" t="s">
        <v>331</v>
      </c>
      <c r="B46" s="430" t="s">
        <v>332</v>
      </c>
      <c r="C46" s="430" t="s">
        <v>333</v>
      </c>
      <c r="D46" s="429" t="s">
        <v>371</v>
      </c>
      <c r="E46" s="429" t="s">
        <v>370</v>
      </c>
      <c r="F46" s="430" t="s">
        <v>334</v>
      </c>
      <c r="G46" s="430" t="s">
        <v>335</v>
      </c>
      <c r="H46" s="430" t="s">
        <v>336</v>
      </c>
      <c r="I46" s="430" t="s">
        <v>337</v>
      </c>
      <c r="J46" s="430" t="s">
        <v>338</v>
      </c>
      <c r="K46" s="430" t="s">
        <v>339</v>
      </c>
      <c r="L46" s="430" t="s">
        <v>356</v>
      </c>
      <c r="M46" s="430" t="s">
        <v>340</v>
      </c>
      <c r="N46" s="430" t="s">
        <v>341</v>
      </c>
      <c r="O46" s="430" t="s">
        <v>342</v>
      </c>
      <c r="P46" s="430"/>
      <c r="Q46" s="430"/>
      <c r="R46" s="430"/>
      <c r="S46" s="430"/>
      <c r="T46" s="428" t="s">
        <v>343</v>
      </c>
      <c r="U46" s="428"/>
      <c r="V46" s="428"/>
      <c r="W46" s="428"/>
      <c r="X46" s="428" t="s">
        <v>343</v>
      </c>
      <c r="Y46" s="428"/>
      <c r="Z46" s="428"/>
      <c r="AA46" s="428"/>
      <c r="AB46" s="428"/>
      <c r="AC46" s="428"/>
      <c r="AD46" s="428"/>
      <c r="AE46" s="428"/>
      <c r="AF46" s="434"/>
    </row>
    <row r="47" spans="1:32" ht="51">
      <c r="A47" s="430"/>
      <c r="B47" s="430"/>
      <c r="C47" s="430"/>
      <c r="D47" s="429"/>
      <c r="E47" s="429"/>
      <c r="F47" s="431"/>
      <c r="G47" s="431"/>
      <c r="H47" s="431"/>
      <c r="I47" s="431"/>
      <c r="J47" s="431"/>
      <c r="K47" s="431"/>
      <c r="L47" s="431"/>
      <c r="M47" s="432"/>
      <c r="N47" s="430"/>
      <c r="O47" s="107" t="s">
        <v>344</v>
      </c>
      <c r="P47" s="107" t="s">
        <v>345</v>
      </c>
      <c r="Q47" s="107" t="s">
        <v>346</v>
      </c>
      <c r="R47" s="107" t="s">
        <v>347</v>
      </c>
      <c r="S47" s="107" t="s">
        <v>348</v>
      </c>
      <c r="T47" s="107" t="s">
        <v>349</v>
      </c>
      <c r="U47" s="107" t="s">
        <v>350</v>
      </c>
      <c r="V47" s="107" t="s">
        <v>351</v>
      </c>
      <c r="W47" s="107" t="s">
        <v>352</v>
      </c>
      <c r="X47" s="107" t="s">
        <v>353</v>
      </c>
      <c r="Y47" s="107" t="s">
        <v>354</v>
      </c>
      <c r="Z47" s="107" t="s">
        <v>355</v>
      </c>
      <c r="AA47" s="107" t="s">
        <v>352</v>
      </c>
      <c r="AB47" s="107" t="s">
        <v>353</v>
      </c>
      <c r="AC47" s="107" t="s">
        <v>354</v>
      </c>
      <c r="AD47" s="107" t="s">
        <v>355</v>
      </c>
      <c r="AE47" s="107" t="s">
        <v>352</v>
      </c>
      <c r="AF47" s="434"/>
    </row>
    <row r="48" spans="1:32"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2"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row>
    <row r="55" spans="1:32"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row>
    <row r="56" spans="1:32"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2"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row>
    <row r="58" spans="1:32"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row>
    <row r="59" spans="1:32"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row>
    <row r="60" spans="1:32" ht="12.75">
      <c r="A60" s="7"/>
      <c r="B60" s="7"/>
      <c r="C60" s="7"/>
      <c r="D60" s="7"/>
      <c r="E60" s="7"/>
      <c r="F60" s="8">
        <f aca="true" t="shared" si="2" ref="F60:AE60">SUM(F48:F59)</f>
        <v>0</v>
      </c>
      <c r="G60" s="8">
        <f t="shared" si="2"/>
        <v>0</v>
      </c>
      <c r="H60" s="8">
        <f t="shared" si="2"/>
        <v>0</v>
      </c>
      <c r="I60" s="8">
        <f t="shared" si="2"/>
        <v>0</v>
      </c>
      <c r="J60" s="8">
        <f t="shared" si="2"/>
        <v>0</v>
      </c>
      <c r="K60" s="8">
        <f t="shared" si="2"/>
        <v>0</v>
      </c>
      <c r="L60" s="8">
        <f t="shared" si="2"/>
        <v>0</v>
      </c>
      <c r="M60" s="8">
        <f t="shared" si="2"/>
        <v>0</v>
      </c>
      <c r="N60" s="8">
        <f t="shared" si="2"/>
        <v>0</v>
      </c>
      <c r="O60" s="8">
        <f t="shared" si="2"/>
        <v>0</v>
      </c>
      <c r="P60" s="8">
        <f t="shared" si="2"/>
        <v>0</v>
      </c>
      <c r="Q60" s="8">
        <f t="shared" si="2"/>
        <v>0</v>
      </c>
      <c r="R60" s="8">
        <f t="shared" si="2"/>
        <v>0</v>
      </c>
      <c r="S60" s="8">
        <f t="shared" si="2"/>
        <v>0</v>
      </c>
      <c r="T60" s="8">
        <f t="shared" si="2"/>
        <v>0</v>
      </c>
      <c r="U60" s="8">
        <f t="shared" si="2"/>
        <v>0</v>
      </c>
      <c r="V60" s="8">
        <f t="shared" si="2"/>
        <v>0</v>
      </c>
      <c r="W60" s="8">
        <f t="shared" si="2"/>
        <v>0</v>
      </c>
      <c r="X60" s="159">
        <f>2148.45-Y60-Z60-15.91-0.06</f>
        <v>1909.6399999999999</v>
      </c>
      <c r="Y60" s="159">
        <v>125.09</v>
      </c>
      <c r="Z60" s="159">
        <v>97.75</v>
      </c>
      <c r="AA60" s="8">
        <f t="shared" si="2"/>
        <v>0</v>
      </c>
      <c r="AB60" s="8">
        <f t="shared" si="2"/>
        <v>0</v>
      </c>
      <c r="AC60" s="8">
        <f t="shared" si="2"/>
        <v>0</v>
      </c>
      <c r="AD60" s="8">
        <f t="shared" si="2"/>
        <v>0</v>
      </c>
      <c r="AE60" s="8">
        <f t="shared" si="2"/>
        <v>0</v>
      </c>
      <c r="AF60" s="7"/>
    </row>
    <row r="61" ht="12.75">
      <c r="X61">
        <v>1925.61</v>
      </c>
    </row>
    <row r="63" spans="1:32" ht="12.75">
      <c r="A63" s="61" t="s">
        <v>21</v>
      </c>
      <c r="B63" s="61"/>
      <c r="C63" s="61"/>
      <c r="D63" s="104"/>
      <c r="E63" s="103"/>
      <c r="F63" s="61"/>
      <c r="G63" s="61"/>
      <c r="H63" s="61"/>
      <c r="I63" s="61"/>
      <c r="J63" s="61"/>
      <c r="K63" s="61"/>
      <c r="L63" s="61"/>
      <c r="M63" s="61"/>
      <c r="N63" s="61"/>
      <c r="O63" s="61"/>
      <c r="P63" s="61"/>
      <c r="Q63" s="61"/>
      <c r="R63" s="10"/>
      <c r="S63" s="10"/>
      <c r="T63" s="10"/>
      <c r="U63" s="10"/>
      <c r="V63" s="10"/>
      <c r="W63" s="10"/>
      <c r="X63" s="10"/>
      <c r="Y63" s="10"/>
      <c r="Z63" s="61"/>
      <c r="AA63" s="61"/>
      <c r="AB63" s="61"/>
      <c r="AC63" s="61"/>
      <c r="AD63" s="61"/>
      <c r="AE63" s="61"/>
      <c r="AF63" s="10"/>
    </row>
    <row r="64" spans="1:32" ht="12.75">
      <c r="A64" s="10"/>
      <c r="B64" s="10"/>
      <c r="C64" s="10"/>
      <c r="D64" s="77"/>
      <c r="E64" s="105"/>
      <c r="F64" s="10"/>
      <c r="G64" s="10"/>
      <c r="H64" s="10"/>
      <c r="I64" s="10"/>
      <c r="J64" s="10"/>
      <c r="K64" s="10"/>
      <c r="L64" s="10"/>
      <c r="M64" s="10" t="s">
        <v>375</v>
      </c>
      <c r="N64" s="10"/>
      <c r="O64" s="10"/>
      <c r="P64" s="10"/>
      <c r="Q64" s="10"/>
      <c r="R64" s="10"/>
      <c r="S64" s="10"/>
      <c r="T64" s="10"/>
      <c r="U64" s="10"/>
      <c r="V64" s="10"/>
      <c r="W64" s="10"/>
      <c r="X64" s="10"/>
      <c r="Y64" s="62"/>
      <c r="Z64" s="10"/>
      <c r="AA64" s="10"/>
      <c r="AB64" s="10"/>
      <c r="AC64" s="10"/>
      <c r="AD64" s="10"/>
      <c r="AE64" s="10"/>
      <c r="AF64" s="10"/>
    </row>
    <row r="65" spans="1:32" ht="12.75">
      <c r="A65" s="430" t="s">
        <v>324</v>
      </c>
      <c r="B65" s="430"/>
      <c r="C65" s="430"/>
      <c r="D65" s="430"/>
      <c r="E65" s="430"/>
      <c r="F65" s="430" t="s">
        <v>325</v>
      </c>
      <c r="G65" s="432"/>
      <c r="H65" s="432"/>
      <c r="I65" s="432"/>
      <c r="J65" s="432"/>
      <c r="K65" s="432"/>
      <c r="L65" s="432"/>
      <c r="M65" s="430" t="s">
        <v>326</v>
      </c>
      <c r="N65" s="433"/>
      <c r="O65" s="433"/>
      <c r="P65" s="433"/>
      <c r="Q65" s="433"/>
      <c r="R65" s="433"/>
      <c r="S65" s="433"/>
      <c r="T65" s="428" t="s">
        <v>327</v>
      </c>
      <c r="U65" s="428"/>
      <c r="V65" s="428"/>
      <c r="W65" s="428"/>
      <c r="X65" s="428" t="s">
        <v>328</v>
      </c>
      <c r="Y65" s="428"/>
      <c r="Z65" s="428" t="s">
        <v>329</v>
      </c>
      <c r="AA65" s="428"/>
      <c r="AB65" s="428" t="s">
        <v>330</v>
      </c>
      <c r="AC65" s="428"/>
      <c r="AD65" s="428" t="s">
        <v>329</v>
      </c>
      <c r="AE65" s="428"/>
      <c r="AF65" s="434" t="s">
        <v>107</v>
      </c>
    </row>
    <row r="66" spans="1:32" ht="12.75">
      <c r="A66" s="430" t="s">
        <v>331</v>
      </c>
      <c r="B66" s="430" t="s">
        <v>332</v>
      </c>
      <c r="C66" s="430" t="s">
        <v>333</v>
      </c>
      <c r="D66" s="429" t="s">
        <v>371</v>
      </c>
      <c r="E66" s="429" t="s">
        <v>370</v>
      </c>
      <c r="F66" s="430" t="s">
        <v>334</v>
      </c>
      <c r="G66" s="430" t="s">
        <v>335</v>
      </c>
      <c r="H66" s="430" t="s">
        <v>336</v>
      </c>
      <c r="I66" s="430" t="s">
        <v>337</v>
      </c>
      <c r="J66" s="430" t="s">
        <v>338</v>
      </c>
      <c r="K66" s="430" t="s">
        <v>339</v>
      </c>
      <c r="L66" s="430" t="s">
        <v>356</v>
      </c>
      <c r="M66" s="430" t="s">
        <v>340</v>
      </c>
      <c r="N66" s="430" t="s">
        <v>341</v>
      </c>
      <c r="O66" s="430" t="s">
        <v>342</v>
      </c>
      <c r="P66" s="430"/>
      <c r="Q66" s="430"/>
      <c r="R66" s="430"/>
      <c r="S66" s="430"/>
      <c r="T66" s="428" t="s">
        <v>343</v>
      </c>
      <c r="U66" s="428"/>
      <c r="V66" s="428"/>
      <c r="W66" s="428"/>
      <c r="X66" s="428" t="s">
        <v>343</v>
      </c>
      <c r="Y66" s="428"/>
      <c r="Z66" s="428"/>
      <c r="AA66" s="428"/>
      <c r="AB66" s="428"/>
      <c r="AC66" s="428"/>
      <c r="AD66" s="428"/>
      <c r="AE66" s="428"/>
      <c r="AF66" s="434"/>
    </row>
    <row r="67" spans="1:32" ht="51">
      <c r="A67" s="430"/>
      <c r="B67" s="430"/>
      <c r="C67" s="430"/>
      <c r="D67" s="429"/>
      <c r="E67" s="429"/>
      <c r="F67" s="431"/>
      <c r="G67" s="431"/>
      <c r="H67" s="431"/>
      <c r="I67" s="431"/>
      <c r="J67" s="431"/>
      <c r="K67" s="431"/>
      <c r="L67" s="431"/>
      <c r="M67" s="432"/>
      <c r="N67" s="430"/>
      <c r="O67" s="107" t="s">
        <v>344</v>
      </c>
      <c r="P67" s="107" t="s">
        <v>345</v>
      </c>
      <c r="Q67" s="107" t="s">
        <v>346</v>
      </c>
      <c r="R67" s="107" t="s">
        <v>347</v>
      </c>
      <c r="S67" s="107" t="s">
        <v>348</v>
      </c>
      <c r="T67" s="107" t="s">
        <v>349</v>
      </c>
      <c r="U67" s="107" t="s">
        <v>350</v>
      </c>
      <c r="V67" s="107" t="s">
        <v>351</v>
      </c>
      <c r="W67" s="107" t="s">
        <v>352</v>
      </c>
      <c r="X67" s="107" t="s">
        <v>353</v>
      </c>
      <c r="Y67" s="107" t="s">
        <v>354</v>
      </c>
      <c r="Z67" s="107" t="s">
        <v>355</v>
      </c>
      <c r="AA67" s="107" t="s">
        <v>352</v>
      </c>
      <c r="AB67" s="107" t="s">
        <v>353</v>
      </c>
      <c r="AC67" s="107" t="s">
        <v>354</v>
      </c>
      <c r="AD67" s="107" t="s">
        <v>355</v>
      </c>
      <c r="AE67" s="107" t="s">
        <v>352</v>
      </c>
      <c r="AF67" s="434"/>
    </row>
    <row r="68" spans="1:32"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row>
    <row r="70" spans="1:32"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12.75">
      <c r="A80" s="7"/>
      <c r="B80" s="7"/>
      <c r="C80" s="7"/>
      <c r="D80" s="7"/>
      <c r="E80" s="7"/>
      <c r="F80" s="8">
        <f aca="true" t="shared" si="3" ref="F80:AE80">SUM(F68:F79)</f>
        <v>0</v>
      </c>
      <c r="G80" s="8">
        <f t="shared" si="3"/>
        <v>0</v>
      </c>
      <c r="H80" s="8">
        <f t="shared" si="3"/>
        <v>0</v>
      </c>
      <c r="I80" s="8">
        <f t="shared" si="3"/>
        <v>0</v>
      </c>
      <c r="J80" s="8">
        <f t="shared" si="3"/>
        <v>0</v>
      </c>
      <c r="K80" s="8">
        <f t="shared" si="3"/>
        <v>0</v>
      </c>
      <c r="L80" s="8">
        <f t="shared" si="3"/>
        <v>0</v>
      </c>
      <c r="M80" s="8">
        <f t="shared" si="3"/>
        <v>0</v>
      </c>
      <c r="N80" s="8">
        <f t="shared" si="3"/>
        <v>0</v>
      </c>
      <c r="O80" s="8">
        <f t="shared" si="3"/>
        <v>0</v>
      </c>
      <c r="P80" s="8">
        <f t="shared" si="3"/>
        <v>0</v>
      </c>
      <c r="Q80" s="8">
        <f t="shared" si="3"/>
        <v>0</v>
      </c>
      <c r="R80" s="8">
        <f t="shared" si="3"/>
        <v>0</v>
      </c>
      <c r="S80" s="8">
        <f t="shared" si="3"/>
        <v>0</v>
      </c>
      <c r="T80" s="8">
        <f t="shared" si="3"/>
        <v>0</v>
      </c>
      <c r="U80" s="8">
        <f t="shared" si="3"/>
        <v>0</v>
      </c>
      <c r="V80" s="8">
        <f t="shared" si="3"/>
        <v>0</v>
      </c>
      <c r="W80" s="8">
        <f t="shared" si="3"/>
        <v>0</v>
      </c>
      <c r="X80" s="159">
        <f>2007.15-0.93-1.64</f>
        <v>2004.58</v>
      </c>
      <c r="Y80" s="159">
        <v>186.32</v>
      </c>
      <c r="Z80" s="159">
        <v>106.94</v>
      </c>
      <c r="AA80" s="8">
        <f t="shared" si="3"/>
        <v>0</v>
      </c>
      <c r="AB80" s="8">
        <f t="shared" si="3"/>
        <v>0</v>
      </c>
      <c r="AC80" s="8">
        <f t="shared" si="3"/>
        <v>0</v>
      </c>
      <c r="AD80" s="8">
        <f t="shared" si="3"/>
        <v>0</v>
      </c>
      <c r="AE80" s="8">
        <f t="shared" si="3"/>
        <v>0</v>
      </c>
      <c r="AF80" s="7"/>
    </row>
    <row r="81" ht="12.75">
      <c r="X81">
        <v>2007.15</v>
      </c>
    </row>
    <row r="83" spans="1:32" ht="12.75">
      <c r="A83" s="61" t="s">
        <v>22</v>
      </c>
      <c r="B83" s="61"/>
      <c r="C83" s="61"/>
      <c r="D83" s="104"/>
      <c r="E83" s="103"/>
      <c r="F83" s="61"/>
      <c r="G83" s="61"/>
      <c r="H83" s="61"/>
      <c r="I83" s="61"/>
      <c r="J83" s="61"/>
      <c r="K83" s="61"/>
      <c r="L83" s="61"/>
      <c r="M83" s="61"/>
      <c r="N83" s="61"/>
      <c r="O83" s="61"/>
      <c r="P83" s="61"/>
      <c r="Q83" s="61"/>
      <c r="R83" s="10"/>
      <c r="S83" s="10"/>
      <c r="T83" s="10"/>
      <c r="U83" s="10"/>
      <c r="V83" s="10"/>
      <c r="W83" s="10"/>
      <c r="X83" s="10"/>
      <c r="Y83" s="10"/>
      <c r="Z83" s="61"/>
      <c r="AA83" s="61"/>
      <c r="AB83" s="61"/>
      <c r="AC83" s="61"/>
      <c r="AD83" s="61"/>
      <c r="AE83" s="61"/>
      <c r="AF83" s="10"/>
    </row>
    <row r="84" spans="1:32" ht="12.75">
      <c r="A84" s="10"/>
      <c r="B84" s="10"/>
      <c r="C84" s="10"/>
      <c r="D84" s="77"/>
      <c r="E84" s="105"/>
      <c r="F84" s="10"/>
      <c r="G84" s="10"/>
      <c r="H84" s="10"/>
      <c r="I84" s="10"/>
      <c r="J84" s="10"/>
      <c r="K84" s="10"/>
      <c r="L84" s="10"/>
      <c r="M84" s="10" t="s">
        <v>375</v>
      </c>
      <c r="N84" s="10"/>
      <c r="O84" s="10"/>
      <c r="P84" s="10"/>
      <c r="Q84" s="10"/>
      <c r="R84" s="10"/>
      <c r="S84" s="10"/>
      <c r="T84" s="10"/>
      <c r="U84" s="10"/>
      <c r="V84" s="10"/>
      <c r="W84" s="10"/>
      <c r="X84" s="10"/>
      <c r="Y84" s="62"/>
      <c r="Z84" s="10"/>
      <c r="AA84" s="10"/>
      <c r="AB84" s="10"/>
      <c r="AC84" s="10"/>
      <c r="AD84" s="10"/>
      <c r="AE84" s="10"/>
      <c r="AF84" s="10"/>
    </row>
    <row r="85" spans="1:32" ht="12.75">
      <c r="A85" s="430" t="s">
        <v>324</v>
      </c>
      <c r="B85" s="430"/>
      <c r="C85" s="430"/>
      <c r="D85" s="430"/>
      <c r="E85" s="430"/>
      <c r="F85" s="430" t="s">
        <v>325</v>
      </c>
      <c r="G85" s="432"/>
      <c r="H85" s="432"/>
      <c r="I85" s="432"/>
      <c r="J85" s="432"/>
      <c r="K85" s="432"/>
      <c r="L85" s="432"/>
      <c r="M85" s="430" t="s">
        <v>326</v>
      </c>
      <c r="N85" s="433"/>
      <c r="O85" s="433"/>
      <c r="P85" s="433"/>
      <c r="Q85" s="433"/>
      <c r="R85" s="433"/>
      <c r="S85" s="433"/>
      <c r="T85" s="428" t="s">
        <v>327</v>
      </c>
      <c r="U85" s="428"/>
      <c r="V85" s="428"/>
      <c r="W85" s="428"/>
      <c r="X85" s="428" t="s">
        <v>328</v>
      </c>
      <c r="Y85" s="428"/>
      <c r="Z85" s="428" t="s">
        <v>329</v>
      </c>
      <c r="AA85" s="428"/>
      <c r="AB85" s="428" t="s">
        <v>330</v>
      </c>
      <c r="AC85" s="428"/>
      <c r="AD85" s="428" t="s">
        <v>329</v>
      </c>
      <c r="AE85" s="428"/>
      <c r="AF85" s="434" t="s">
        <v>107</v>
      </c>
    </row>
    <row r="86" spans="1:32" ht="12.75">
      <c r="A86" s="430" t="s">
        <v>331</v>
      </c>
      <c r="B86" s="430" t="s">
        <v>332</v>
      </c>
      <c r="C86" s="430" t="s">
        <v>333</v>
      </c>
      <c r="D86" s="429" t="s">
        <v>371</v>
      </c>
      <c r="E86" s="429" t="s">
        <v>370</v>
      </c>
      <c r="F86" s="430" t="s">
        <v>334</v>
      </c>
      <c r="G86" s="430" t="s">
        <v>335</v>
      </c>
      <c r="H86" s="430" t="s">
        <v>336</v>
      </c>
      <c r="I86" s="430" t="s">
        <v>337</v>
      </c>
      <c r="J86" s="430" t="s">
        <v>338</v>
      </c>
      <c r="K86" s="430" t="s">
        <v>339</v>
      </c>
      <c r="L86" s="430" t="s">
        <v>356</v>
      </c>
      <c r="M86" s="430" t="s">
        <v>340</v>
      </c>
      <c r="N86" s="430" t="s">
        <v>341</v>
      </c>
      <c r="O86" s="430" t="s">
        <v>342</v>
      </c>
      <c r="P86" s="430"/>
      <c r="Q86" s="430"/>
      <c r="R86" s="430"/>
      <c r="S86" s="430"/>
      <c r="T86" s="428" t="s">
        <v>343</v>
      </c>
      <c r="U86" s="428"/>
      <c r="V86" s="428"/>
      <c r="W86" s="428"/>
      <c r="X86" s="428" t="s">
        <v>343</v>
      </c>
      <c r="Y86" s="428"/>
      <c r="Z86" s="428"/>
      <c r="AA86" s="428"/>
      <c r="AB86" s="428"/>
      <c r="AC86" s="428"/>
      <c r="AD86" s="428"/>
      <c r="AE86" s="428"/>
      <c r="AF86" s="434"/>
    </row>
    <row r="87" spans="1:32" ht="51">
      <c r="A87" s="430"/>
      <c r="B87" s="430"/>
      <c r="C87" s="430"/>
      <c r="D87" s="429"/>
      <c r="E87" s="429"/>
      <c r="F87" s="431"/>
      <c r="G87" s="431"/>
      <c r="H87" s="431"/>
      <c r="I87" s="431"/>
      <c r="J87" s="431"/>
      <c r="K87" s="431"/>
      <c r="L87" s="431"/>
      <c r="M87" s="432"/>
      <c r="N87" s="430"/>
      <c r="O87" s="107" t="s">
        <v>344</v>
      </c>
      <c r="P87" s="107" t="s">
        <v>345</v>
      </c>
      <c r="Q87" s="107" t="s">
        <v>346</v>
      </c>
      <c r="R87" s="107" t="s">
        <v>347</v>
      </c>
      <c r="S87" s="107" t="s">
        <v>348</v>
      </c>
      <c r="T87" s="107" t="s">
        <v>349</v>
      </c>
      <c r="U87" s="107" t="s">
        <v>350</v>
      </c>
      <c r="V87" s="107" t="s">
        <v>351</v>
      </c>
      <c r="W87" s="107" t="s">
        <v>352</v>
      </c>
      <c r="X87" s="107" t="s">
        <v>353</v>
      </c>
      <c r="Y87" s="107" t="s">
        <v>354</v>
      </c>
      <c r="Z87" s="107" t="s">
        <v>355</v>
      </c>
      <c r="AA87" s="107" t="s">
        <v>352</v>
      </c>
      <c r="AB87" s="107" t="s">
        <v>353</v>
      </c>
      <c r="AC87" s="107" t="s">
        <v>354</v>
      </c>
      <c r="AD87" s="107" t="s">
        <v>355</v>
      </c>
      <c r="AE87" s="107" t="s">
        <v>352</v>
      </c>
      <c r="AF87" s="434"/>
    </row>
    <row r="88" spans="1:32"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12.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12.75">
      <c r="A100" s="7"/>
      <c r="B100" s="7"/>
      <c r="C100" s="7"/>
      <c r="D100" s="7"/>
      <c r="E100" s="7"/>
      <c r="F100" s="8">
        <f aca="true" t="shared" si="4" ref="F100:AE100">SUM(F88:F99)</f>
        <v>0</v>
      </c>
      <c r="G100" s="8">
        <f t="shared" si="4"/>
        <v>0</v>
      </c>
      <c r="H100" s="8">
        <f t="shared" si="4"/>
        <v>0</v>
      </c>
      <c r="I100" s="8">
        <f t="shared" si="4"/>
        <v>0</v>
      </c>
      <c r="J100" s="8">
        <f t="shared" si="4"/>
        <v>0</v>
      </c>
      <c r="K100" s="8">
        <f t="shared" si="4"/>
        <v>0</v>
      </c>
      <c r="L100" s="8">
        <f t="shared" si="4"/>
        <v>0</v>
      </c>
      <c r="M100" s="8">
        <f t="shared" si="4"/>
        <v>0</v>
      </c>
      <c r="N100" s="8">
        <f t="shared" si="4"/>
        <v>0</v>
      </c>
      <c r="O100" s="8">
        <f t="shared" si="4"/>
        <v>0</v>
      </c>
      <c r="P100" s="8">
        <f t="shared" si="4"/>
        <v>0</v>
      </c>
      <c r="Q100" s="8">
        <f t="shared" si="4"/>
        <v>0</v>
      </c>
      <c r="R100" s="8">
        <f t="shared" si="4"/>
        <v>0</v>
      </c>
      <c r="S100" s="8">
        <f t="shared" si="4"/>
        <v>0</v>
      </c>
      <c r="T100" s="8">
        <f t="shared" si="4"/>
        <v>0</v>
      </c>
      <c r="U100" s="8">
        <f t="shared" si="4"/>
        <v>0</v>
      </c>
      <c r="V100" s="8">
        <f t="shared" si="4"/>
        <v>0</v>
      </c>
      <c r="W100" s="8">
        <f t="shared" si="4"/>
        <v>0</v>
      </c>
      <c r="X100" s="159">
        <v>963.43</v>
      </c>
      <c r="Y100" s="159">
        <v>134.98</v>
      </c>
      <c r="Z100" s="159">
        <v>69.79</v>
      </c>
      <c r="AA100" s="8">
        <f t="shared" si="4"/>
        <v>0</v>
      </c>
      <c r="AB100" s="8">
        <f t="shared" si="4"/>
        <v>0</v>
      </c>
      <c r="AC100" s="8">
        <f t="shared" si="4"/>
        <v>0</v>
      </c>
      <c r="AD100" s="8">
        <f t="shared" si="4"/>
        <v>0</v>
      </c>
      <c r="AE100" s="8">
        <f t="shared" si="4"/>
        <v>0</v>
      </c>
      <c r="AF100" s="7"/>
    </row>
    <row r="103" spans="1:32" ht="12.75">
      <c r="A103" s="61" t="s">
        <v>23</v>
      </c>
      <c r="B103" s="61"/>
      <c r="C103" s="61"/>
      <c r="D103" s="104"/>
      <c r="E103" s="103"/>
      <c r="F103" s="61"/>
      <c r="G103" s="61"/>
      <c r="H103" s="61"/>
      <c r="I103" s="61"/>
      <c r="J103" s="61"/>
      <c r="K103" s="61"/>
      <c r="L103" s="61"/>
      <c r="M103" s="61"/>
      <c r="N103" s="61"/>
      <c r="O103" s="61"/>
      <c r="P103" s="61"/>
      <c r="Q103" s="61"/>
      <c r="R103" s="10"/>
      <c r="S103" s="10"/>
      <c r="T103" s="10"/>
      <c r="U103" s="10"/>
      <c r="V103" s="10"/>
      <c r="W103" s="10"/>
      <c r="X103" s="10"/>
      <c r="Y103" s="10"/>
      <c r="Z103" s="61"/>
      <c r="AA103" s="61"/>
      <c r="AB103" s="61"/>
      <c r="AC103" s="61"/>
      <c r="AD103" s="61"/>
      <c r="AE103" s="61"/>
      <c r="AF103" s="10"/>
    </row>
    <row r="104" spans="1:32" ht="12.75">
      <c r="A104" s="10"/>
      <c r="B104" s="10"/>
      <c r="C104" s="10"/>
      <c r="D104" s="77"/>
      <c r="E104" s="105"/>
      <c r="F104" s="10"/>
      <c r="G104" s="10"/>
      <c r="H104" s="10"/>
      <c r="I104" s="10"/>
      <c r="J104" s="10"/>
      <c r="K104" s="10"/>
      <c r="L104" s="10"/>
      <c r="M104" s="10" t="s">
        <v>375</v>
      </c>
      <c r="N104" s="10"/>
      <c r="O104" s="10"/>
      <c r="P104" s="10"/>
      <c r="Q104" s="10"/>
      <c r="R104" s="10"/>
      <c r="S104" s="10"/>
      <c r="T104" s="10"/>
      <c r="U104" s="10"/>
      <c r="V104" s="10"/>
      <c r="W104" s="10"/>
      <c r="X104" s="10"/>
      <c r="Y104" s="62"/>
      <c r="Z104" s="10"/>
      <c r="AA104" s="10"/>
      <c r="AB104" s="10"/>
      <c r="AC104" s="10"/>
      <c r="AD104" s="10"/>
      <c r="AE104" s="10"/>
      <c r="AF104" s="10"/>
    </row>
    <row r="105" spans="1:32" ht="12.75">
      <c r="A105" s="430" t="s">
        <v>324</v>
      </c>
      <c r="B105" s="430"/>
      <c r="C105" s="430"/>
      <c r="D105" s="430"/>
      <c r="E105" s="430"/>
      <c r="F105" s="430" t="s">
        <v>325</v>
      </c>
      <c r="G105" s="432"/>
      <c r="H105" s="432"/>
      <c r="I105" s="432"/>
      <c r="J105" s="432"/>
      <c r="K105" s="432"/>
      <c r="L105" s="432"/>
      <c r="M105" s="430" t="s">
        <v>326</v>
      </c>
      <c r="N105" s="433"/>
      <c r="O105" s="433"/>
      <c r="P105" s="433"/>
      <c r="Q105" s="433"/>
      <c r="R105" s="433"/>
      <c r="S105" s="433"/>
      <c r="T105" s="428" t="s">
        <v>327</v>
      </c>
      <c r="U105" s="428"/>
      <c r="V105" s="428"/>
      <c r="W105" s="428"/>
      <c r="X105" s="428" t="s">
        <v>328</v>
      </c>
      <c r="Y105" s="428"/>
      <c r="Z105" s="428" t="s">
        <v>329</v>
      </c>
      <c r="AA105" s="428"/>
      <c r="AB105" s="428" t="s">
        <v>330</v>
      </c>
      <c r="AC105" s="428"/>
      <c r="AD105" s="428" t="s">
        <v>329</v>
      </c>
      <c r="AE105" s="428"/>
      <c r="AF105" s="434" t="s">
        <v>107</v>
      </c>
    </row>
    <row r="106" spans="1:32" ht="12.75">
      <c r="A106" s="430" t="s">
        <v>331</v>
      </c>
      <c r="B106" s="430" t="s">
        <v>332</v>
      </c>
      <c r="C106" s="430" t="s">
        <v>333</v>
      </c>
      <c r="D106" s="429" t="s">
        <v>371</v>
      </c>
      <c r="E106" s="429" t="s">
        <v>370</v>
      </c>
      <c r="F106" s="430" t="s">
        <v>334</v>
      </c>
      <c r="G106" s="430" t="s">
        <v>335</v>
      </c>
      <c r="H106" s="430" t="s">
        <v>336</v>
      </c>
      <c r="I106" s="430" t="s">
        <v>337</v>
      </c>
      <c r="J106" s="430" t="s">
        <v>338</v>
      </c>
      <c r="K106" s="430" t="s">
        <v>339</v>
      </c>
      <c r="L106" s="430" t="s">
        <v>356</v>
      </c>
      <c r="M106" s="430" t="s">
        <v>340</v>
      </c>
      <c r="N106" s="430" t="s">
        <v>341</v>
      </c>
      <c r="O106" s="430" t="s">
        <v>342</v>
      </c>
      <c r="P106" s="430"/>
      <c r="Q106" s="430"/>
      <c r="R106" s="430"/>
      <c r="S106" s="430"/>
      <c r="T106" s="428" t="s">
        <v>343</v>
      </c>
      <c r="U106" s="428"/>
      <c r="V106" s="428"/>
      <c r="W106" s="428"/>
      <c r="X106" s="428" t="s">
        <v>343</v>
      </c>
      <c r="Y106" s="428"/>
      <c r="Z106" s="428"/>
      <c r="AA106" s="428"/>
      <c r="AB106" s="428"/>
      <c r="AC106" s="428"/>
      <c r="AD106" s="428"/>
      <c r="AE106" s="428"/>
      <c r="AF106" s="434"/>
    </row>
    <row r="107" spans="1:32" ht="51">
      <c r="A107" s="430"/>
      <c r="B107" s="430"/>
      <c r="C107" s="430"/>
      <c r="D107" s="429"/>
      <c r="E107" s="429"/>
      <c r="F107" s="431"/>
      <c r="G107" s="431"/>
      <c r="H107" s="431"/>
      <c r="I107" s="431"/>
      <c r="J107" s="431"/>
      <c r="K107" s="431"/>
      <c r="L107" s="431"/>
      <c r="M107" s="432"/>
      <c r="N107" s="430"/>
      <c r="O107" s="107" t="s">
        <v>344</v>
      </c>
      <c r="P107" s="107" t="s">
        <v>345</v>
      </c>
      <c r="Q107" s="107" t="s">
        <v>346</v>
      </c>
      <c r="R107" s="107" t="s">
        <v>347</v>
      </c>
      <c r="S107" s="107" t="s">
        <v>348</v>
      </c>
      <c r="T107" s="107" t="s">
        <v>349</v>
      </c>
      <c r="U107" s="107" t="s">
        <v>350</v>
      </c>
      <c r="V107" s="107" t="s">
        <v>351</v>
      </c>
      <c r="W107" s="107" t="s">
        <v>352</v>
      </c>
      <c r="X107" s="107" t="s">
        <v>353</v>
      </c>
      <c r="Y107" s="107" t="s">
        <v>354</v>
      </c>
      <c r="Z107" s="107" t="s">
        <v>355</v>
      </c>
      <c r="AA107" s="107" t="s">
        <v>352</v>
      </c>
      <c r="AB107" s="107" t="s">
        <v>353</v>
      </c>
      <c r="AC107" s="107" t="s">
        <v>354</v>
      </c>
      <c r="AD107" s="107" t="s">
        <v>355</v>
      </c>
      <c r="AE107" s="107" t="s">
        <v>352</v>
      </c>
      <c r="AF107" s="434"/>
    </row>
    <row r="108" spans="1:32" ht="12.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12.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12.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12.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12.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12.75">
      <c r="A120" s="7"/>
      <c r="B120" s="7"/>
      <c r="C120" s="7"/>
      <c r="D120" s="7"/>
      <c r="E120" s="7"/>
      <c r="F120" s="8">
        <f aca="true" t="shared" si="5" ref="F120:AE120">SUM(F108:F119)</f>
        <v>0</v>
      </c>
      <c r="G120" s="8">
        <f t="shared" si="5"/>
        <v>0</v>
      </c>
      <c r="H120" s="8">
        <f t="shared" si="5"/>
        <v>0</v>
      </c>
      <c r="I120" s="8">
        <f t="shared" si="5"/>
        <v>0</v>
      </c>
      <c r="J120" s="8">
        <f t="shared" si="5"/>
        <v>0</v>
      </c>
      <c r="K120" s="8">
        <f t="shared" si="5"/>
        <v>0</v>
      </c>
      <c r="L120" s="8">
        <f t="shared" si="5"/>
        <v>0</v>
      </c>
      <c r="M120" s="8">
        <f t="shared" si="5"/>
        <v>0</v>
      </c>
      <c r="N120" s="8">
        <f t="shared" si="5"/>
        <v>0</v>
      </c>
      <c r="O120" s="8">
        <f t="shared" si="5"/>
        <v>0</v>
      </c>
      <c r="P120" s="8">
        <f t="shared" si="5"/>
        <v>0</v>
      </c>
      <c r="Q120" s="8">
        <f t="shared" si="5"/>
        <v>0</v>
      </c>
      <c r="R120" s="8">
        <f t="shared" si="5"/>
        <v>0</v>
      </c>
      <c r="S120" s="8">
        <f t="shared" si="5"/>
        <v>0</v>
      </c>
      <c r="T120" s="8">
        <f t="shared" si="5"/>
        <v>0</v>
      </c>
      <c r="U120" s="8">
        <f t="shared" si="5"/>
        <v>0</v>
      </c>
      <c r="V120" s="8">
        <f t="shared" si="5"/>
        <v>0</v>
      </c>
      <c r="W120" s="8">
        <f t="shared" si="5"/>
        <v>0</v>
      </c>
      <c r="X120" s="8">
        <f t="shared" si="5"/>
        <v>0</v>
      </c>
      <c r="Y120" s="8">
        <f t="shared" si="5"/>
        <v>0</v>
      </c>
      <c r="Z120" s="8">
        <f t="shared" si="5"/>
        <v>0</v>
      </c>
      <c r="AA120" s="8">
        <f t="shared" si="5"/>
        <v>0</v>
      </c>
      <c r="AB120" s="8">
        <f t="shared" si="5"/>
        <v>0</v>
      </c>
      <c r="AC120" s="8">
        <f t="shared" si="5"/>
        <v>0</v>
      </c>
      <c r="AD120" s="8">
        <f t="shared" si="5"/>
        <v>0</v>
      </c>
      <c r="AE120" s="8">
        <f t="shared" si="5"/>
        <v>0</v>
      </c>
      <c r="AF120" s="7"/>
    </row>
    <row r="123" spans="1:32" ht="12.75">
      <c r="A123" s="61" t="s">
        <v>476</v>
      </c>
      <c r="B123" s="61"/>
      <c r="C123" s="61"/>
      <c r="D123" s="104"/>
      <c r="E123" s="103"/>
      <c r="F123" s="61"/>
      <c r="G123" s="61"/>
      <c r="H123" s="61"/>
      <c r="I123" s="61"/>
      <c r="J123" s="61"/>
      <c r="K123" s="61"/>
      <c r="L123" s="61"/>
      <c r="M123" s="61"/>
      <c r="N123" s="61"/>
      <c r="O123" s="61"/>
      <c r="P123" s="61"/>
      <c r="Q123" s="61"/>
      <c r="R123" s="10"/>
      <c r="S123" s="10"/>
      <c r="T123" s="10"/>
      <c r="U123" s="10"/>
      <c r="V123" s="10"/>
      <c r="W123" s="10"/>
      <c r="X123" s="10"/>
      <c r="Y123" s="10"/>
      <c r="Z123" s="61"/>
      <c r="AA123" s="61"/>
      <c r="AB123" s="61"/>
      <c r="AC123" s="61"/>
      <c r="AD123" s="61"/>
      <c r="AE123" s="61"/>
      <c r="AF123" s="10"/>
    </row>
    <row r="124" spans="1:32" ht="12.75">
      <c r="A124" s="10"/>
      <c r="B124" s="10"/>
      <c r="C124" s="10"/>
      <c r="D124" s="77"/>
      <c r="E124" s="105"/>
      <c r="F124" s="10"/>
      <c r="G124" s="10"/>
      <c r="H124" s="10"/>
      <c r="I124" s="10"/>
      <c r="J124" s="10"/>
      <c r="K124" s="10"/>
      <c r="L124" s="10"/>
      <c r="M124" s="10" t="s">
        <v>375</v>
      </c>
      <c r="N124" s="10"/>
      <c r="O124" s="10"/>
      <c r="P124" s="10"/>
      <c r="Q124" s="10"/>
      <c r="R124" s="10"/>
      <c r="S124" s="10"/>
      <c r="T124" s="10"/>
      <c r="U124" s="10"/>
      <c r="V124" s="10"/>
      <c r="W124" s="10"/>
      <c r="X124" s="10"/>
      <c r="Y124" s="62"/>
      <c r="Z124" s="10"/>
      <c r="AA124" s="10"/>
      <c r="AB124" s="10"/>
      <c r="AC124" s="10"/>
      <c r="AD124" s="10"/>
      <c r="AE124" s="10"/>
      <c r="AF124" s="10"/>
    </row>
    <row r="125" spans="1:32" ht="12.75">
      <c r="A125" s="430" t="s">
        <v>324</v>
      </c>
      <c r="B125" s="430"/>
      <c r="C125" s="430"/>
      <c r="D125" s="430"/>
      <c r="E125" s="430"/>
      <c r="F125" s="430" t="s">
        <v>325</v>
      </c>
      <c r="G125" s="432"/>
      <c r="H125" s="432"/>
      <c r="I125" s="432"/>
      <c r="J125" s="432"/>
      <c r="K125" s="432"/>
      <c r="L125" s="432"/>
      <c r="M125" s="430" t="s">
        <v>326</v>
      </c>
      <c r="N125" s="433"/>
      <c r="O125" s="433"/>
      <c r="P125" s="433"/>
      <c r="Q125" s="433"/>
      <c r="R125" s="433"/>
      <c r="S125" s="433"/>
      <c r="T125" s="428" t="s">
        <v>327</v>
      </c>
      <c r="U125" s="428"/>
      <c r="V125" s="428"/>
      <c r="W125" s="428"/>
      <c r="X125" s="428" t="s">
        <v>328</v>
      </c>
      <c r="Y125" s="428"/>
      <c r="Z125" s="428" t="s">
        <v>329</v>
      </c>
      <c r="AA125" s="428"/>
      <c r="AB125" s="428" t="s">
        <v>330</v>
      </c>
      <c r="AC125" s="428"/>
      <c r="AD125" s="428" t="s">
        <v>329</v>
      </c>
      <c r="AE125" s="428"/>
      <c r="AF125" s="434" t="s">
        <v>107</v>
      </c>
    </row>
    <row r="126" spans="1:32" ht="12.75">
      <c r="A126" s="430" t="s">
        <v>331</v>
      </c>
      <c r="B126" s="430" t="s">
        <v>332</v>
      </c>
      <c r="C126" s="430" t="s">
        <v>333</v>
      </c>
      <c r="D126" s="429" t="s">
        <v>371</v>
      </c>
      <c r="E126" s="429" t="s">
        <v>370</v>
      </c>
      <c r="F126" s="430" t="s">
        <v>334</v>
      </c>
      <c r="G126" s="430" t="s">
        <v>335</v>
      </c>
      <c r="H126" s="430" t="s">
        <v>336</v>
      </c>
      <c r="I126" s="430" t="s">
        <v>337</v>
      </c>
      <c r="J126" s="430" t="s">
        <v>338</v>
      </c>
      <c r="K126" s="430" t="s">
        <v>339</v>
      </c>
      <c r="L126" s="430" t="s">
        <v>356</v>
      </c>
      <c r="M126" s="430" t="s">
        <v>340</v>
      </c>
      <c r="N126" s="430" t="s">
        <v>341</v>
      </c>
      <c r="O126" s="430" t="s">
        <v>342</v>
      </c>
      <c r="P126" s="430"/>
      <c r="Q126" s="430"/>
      <c r="R126" s="430"/>
      <c r="S126" s="430"/>
      <c r="T126" s="428" t="s">
        <v>343</v>
      </c>
      <c r="U126" s="428"/>
      <c r="V126" s="428"/>
      <c r="W126" s="428"/>
      <c r="X126" s="428" t="s">
        <v>343</v>
      </c>
      <c r="Y126" s="428"/>
      <c r="Z126" s="428"/>
      <c r="AA126" s="428"/>
      <c r="AB126" s="428"/>
      <c r="AC126" s="428"/>
      <c r="AD126" s="428"/>
      <c r="AE126" s="428"/>
      <c r="AF126" s="434"/>
    </row>
    <row r="127" spans="1:32" ht="51">
      <c r="A127" s="430"/>
      <c r="B127" s="430"/>
      <c r="C127" s="430"/>
      <c r="D127" s="429"/>
      <c r="E127" s="429"/>
      <c r="F127" s="431"/>
      <c r="G127" s="431"/>
      <c r="H127" s="431"/>
      <c r="I127" s="431"/>
      <c r="J127" s="431"/>
      <c r="K127" s="431"/>
      <c r="L127" s="431"/>
      <c r="M127" s="432"/>
      <c r="N127" s="430"/>
      <c r="O127" s="107" t="s">
        <v>344</v>
      </c>
      <c r="P127" s="107" t="s">
        <v>345</v>
      </c>
      <c r="Q127" s="107" t="s">
        <v>346</v>
      </c>
      <c r="R127" s="107" t="s">
        <v>347</v>
      </c>
      <c r="S127" s="107" t="s">
        <v>348</v>
      </c>
      <c r="T127" s="107" t="s">
        <v>349</v>
      </c>
      <c r="U127" s="107" t="s">
        <v>350</v>
      </c>
      <c r="V127" s="107" t="s">
        <v>351</v>
      </c>
      <c r="W127" s="107" t="s">
        <v>352</v>
      </c>
      <c r="X127" s="107" t="s">
        <v>353</v>
      </c>
      <c r="Y127" s="107" t="s">
        <v>354</v>
      </c>
      <c r="Z127" s="107" t="s">
        <v>355</v>
      </c>
      <c r="AA127" s="107" t="s">
        <v>352</v>
      </c>
      <c r="AB127" s="107" t="s">
        <v>353</v>
      </c>
      <c r="AC127" s="107" t="s">
        <v>354</v>
      </c>
      <c r="AD127" s="107" t="s">
        <v>355</v>
      </c>
      <c r="AE127" s="107" t="s">
        <v>352</v>
      </c>
      <c r="AF127" s="434"/>
    </row>
    <row r="128" spans="1:32"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12.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12.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12.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12.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12.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12.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12.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12.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12.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12.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12.75">
      <c r="A140" s="7"/>
      <c r="B140" s="7"/>
      <c r="C140" s="7"/>
      <c r="D140" s="7"/>
      <c r="E140" s="7"/>
      <c r="F140" s="8">
        <f aca="true" t="shared" si="6" ref="F140:AE140">SUM(F128:F139)</f>
        <v>0</v>
      </c>
      <c r="G140" s="8">
        <f t="shared" si="6"/>
        <v>0</v>
      </c>
      <c r="H140" s="8">
        <f t="shared" si="6"/>
        <v>0</v>
      </c>
      <c r="I140" s="8">
        <f t="shared" si="6"/>
        <v>0</v>
      </c>
      <c r="J140" s="8">
        <f t="shared" si="6"/>
        <v>0</v>
      </c>
      <c r="K140" s="8">
        <f t="shared" si="6"/>
        <v>0</v>
      </c>
      <c r="L140" s="8">
        <f t="shared" si="6"/>
        <v>0</v>
      </c>
      <c r="M140" s="8">
        <f t="shared" si="6"/>
        <v>0</v>
      </c>
      <c r="N140" s="8">
        <f t="shared" si="6"/>
        <v>0</v>
      </c>
      <c r="O140" s="8">
        <f t="shared" si="6"/>
        <v>0</v>
      </c>
      <c r="P140" s="8">
        <f t="shared" si="6"/>
        <v>0</v>
      </c>
      <c r="Q140" s="8">
        <f t="shared" si="6"/>
        <v>0</v>
      </c>
      <c r="R140" s="8">
        <f t="shared" si="6"/>
        <v>0</v>
      </c>
      <c r="S140" s="8">
        <f t="shared" si="6"/>
        <v>0</v>
      </c>
      <c r="T140" s="8">
        <f t="shared" si="6"/>
        <v>0</v>
      </c>
      <c r="U140" s="8">
        <f t="shared" si="6"/>
        <v>0</v>
      </c>
      <c r="V140" s="8">
        <f t="shared" si="6"/>
        <v>0</v>
      </c>
      <c r="W140" s="8">
        <f t="shared" si="6"/>
        <v>0</v>
      </c>
      <c r="X140" s="8">
        <f t="shared" si="6"/>
        <v>0</v>
      </c>
      <c r="Y140" s="8">
        <f t="shared" si="6"/>
        <v>0</v>
      </c>
      <c r="Z140" s="8">
        <f t="shared" si="6"/>
        <v>0</v>
      </c>
      <c r="AA140" s="8">
        <f t="shared" si="6"/>
        <v>0</v>
      </c>
      <c r="AB140" s="8">
        <f t="shared" si="6"/>
        <v>0</v>
      </c>
      <c r="AC140" s="8">
        <f t="shared" si="6"/>
        <v>0</v>
      </c>
      <c r="AD140" s="8">
        <f t="shared" si="6"/>
        <v>0</v>
      </c>
      <c r="AE140" s="8">
        <f t="shared" si="6"/>
        <v>0</v>
      </c>
      <c r="AF140" s="7"/>
    </row>
    <row r="143" spans="1:32" ht="12.75">
      <c r="A143" s="61" t="s">
        <v>477</v>
      </c>
      <c r="B143" s="61"/>
      <c r="C143" s="61"/>
      <c r="D143" s="104"/>
      <c r="E143" s="103"/>
      <c r="F143" s="61"/>
      <c r="G143" s="61"/>
      <c r="H143" s="61"/>
      <c r="I143" s="61"/>
      <c r="J143" s="61"/>
      <c r="K143" s="61"/>
      <c r="L143" s="61"/>
      <c r="M143" s="61"/>
      <c r="N143" s="61"/>
      <c r="O143" s="61"/>
      <c r="P143" s="61"/>
      <c r="Q143" s="61"/>
      <c r="R143" s="10"/>
      <c r="S143" s="10"/>
      <c r="T143" s="10"/>
      <c r="U143" s="10"/>
      <c r="V143" s="10"/>
      <c r="W143" s="10"/>
      <c r="X143" s="10"/>
      <c r="Y143" s="10"/>
      <c r="Z143" s="61"/>
      <c r="AA143" s="61"/>
      <c r="AB143" s="61"/>
      <c r="AC143" s="61"/>
      <c r="AD143" s="61"/>
      <c r="AE143" s="61"/>
      <c r="AF143" s="10"/>
    </row>
    <row r="144" spans="1:32" ht="12.75">
      <c r="A144" s="10"/>
      <c r="B144" s="10"/>
      <c r="C144" s="10"/>
      <c r="D144" s="77"/>
      <c r="E144" s="105"/>
      <c r="F144" s="10"/>
      <c r="G144" s="10"/>
      <c r="H144" s="10"/>
      <c r="I144" s="10"/>
      <c r="J144" s="10"/>
      <c r="K144" s="10"/>
      <c r="L144" s="10"/>
      <c r="M144" s="10" t="s">
        <v>375</v>
      </c>
      <c r="N144" s="10"/>
      <c r="O144" s="10"/>
      <c r="P144" s="10"/>
      <c r="Q144" s="10"/>
      <c r="R144" s="10"/>
      <c r="S144" s="10"/>
      <c r="T144" s="10"/>
      <c r="U144" s="10"/>
      <c r="V144" s="10"/>
      <c r="W144" s="10"/>
      <c r="X144" s="10"/>
      <c r="Y144" s="62"/>
      <c r="Z144" s="10"/>
      <c r="AA144" s="10"/>
      <c r="AB144" s="10"/>
      <c r="AC144" s="10"/>
      <c r="AD144" s="10"/>
      <c r="AE144" s="10"/>
      <c r="AF144" s="10"/>
    </row>
    <row r="145" spans="1:32" ht="12.75">
      <c r="A145" s="430" t="s">
        <v>324</v>
      </c>
      <c r="B145" s="430"/>
      <c r="C145" s="430"/>
      <c r="D145" s="430"/>
      <c r="E145" s="430"/>
      <c r="F145" s="430" t="s">
        <v>325</v>
      </c>
      <c r="G145" s="432"/>
      <c r="H145" s="432"/>
      <c r="I145" s="432"/>
      <c r="J145" s="432"/>
      <c r="K145" s="432"/>
      <c r="L145" s="432"/>
      <c r="M145" s="430" t="s">
        <v>326</v>
      </c>
      <c r="N145" s="433"/>
      <c r="O145" s="433"/>
      <c r="P145" s="433"/>
      <c r="Q145" s="433"/>
      <c r="R145" s="433"/>
      <c r="S145" s="433"/>
      <c r="T145" s="428" t="s">
        <v>327</v>
      </c>
      <c r="U145" s="428"/>
      <c r="V145" s="428"/>
      <c r="W145" s="428"/>
      <c r="X145" s="428" t="s">
        <v>328</v>
      </c>
      <c r="Y145" s="428"/>
      <c r="Z145" s="428" t="s">
        <v>329</v>
      </c>
      <c r="AA145" s="428"/>
      <c r="AB145" s="428" t="s">
        <v>330</v>
      </c>
      <c r="AC145" s="428"/>
      <c r="AD145" s="428" t="s">
        <v>329</v>
      </c>
      <c r="AE145" s="428"/>
      <c r="AF145" s="434" t="s">
        <v>107</v>
      </c>
    </row>
    <row r="146" spans="1:32" ht="12.75">
      <c r="A146" s="430" t="s">
        <v>331</v>
      </c>
      <c r="B146" s="430" t="s">
        <v>332</v>
      </c>
      <c r="C146" s="430" t="s">
        <v>333</v>
      </c>
      <c r="D146" s="429" t="s">
        <v>371</v>
      </c>
      <c r="E146" s="429" t="s">
        <v>370</v>
      </c>
      <c r="F146" s="430" t="s">
        <v>334</v>
      </c>
      <c r="G146" s="430" t="s">
        <v>335</v>
      </c>
      <c r="H146" s="430" t="s">
        <v>336</v>
      </c>
      <c r="I146" s="430" t="s">
        <v>337</v>
      </c>
      <c r="J146" s="430" t="s">
        <v>338</v>
      </c>
      <c r="K146" s="430" t="s">
        <v>339</v>
      </c>
      <c r="L146" s="430" t="s">
        <v>356</v>
      </c>
      <c r="M146" s="430" t="s">
        <v>340</v>
      </c>
      <c r="N146" s="430" t="s">
        <v>341</v>
      </c>
      <c r="O146" s="430" t="s">
        <v>342</v>
      </c>
      <c r="P146" s="430"/>
      <c r="Q146" s="430"/>
      <c r="R146" s="430"/>
      <c r="S146" s="430"/>
      <c r="T146" s="428" t="s">
        <v>343</v>
      </c>
      <c r="U146" s="428"/>
      <c r="V146" s="428"/>
      <c r="W146" s="428"/>
      <c r="X146" s="428" t="s">
        <v>343</v>
      </c>
      <c r="Y146" s="428"/>
      <c r="Z146" s="428"/>
      <c r="AA146" s="428"/>
      <c r="AB146" s="428"/>
      <c r="AC146" s="428"/>
      <c r="AD146" s="428"/>
      <c r="AE146" s="428"/>
      <c r="AF146" s="434"/>
    </row>
    <row r="147" spans="1:32" ht="51">
      <c r="A147" s="430"/>
      <c r="B147" s="430"/>
      <c r="C147" s="430"/>
      <c r="D147" s="429"/>
      <c r="E147" s="429"/>
      <c r="F147" s="431"/>
      <c r="G147" s="431"/>
      <c r="H147" s="431"/>
      <c r="I147" s="431"/>
      <c r="J147" s="431"/>
      <c r="K147" s="431"/>
      <c r="L147" s="431"/>
      <c r="M147" s="432"/>
      <c r="N147" s="430"/>
      <c r="O147" s="107" t="s">
        <v>344</v>
      </c>
      <c r="P147" s="107" t="s">
        <v>345</v>
      </c>
      <c r="Q147" s="107" t="s">
        <v>346</v>
      </c>
      <c r="R147" s="107" t="s">
        <v>347</v>
      </c>
      <c r="S147" s="107" t="s">
        <v>348</v>
      </c>
      <c r="T147" s="107" t="s">
        <v>349</v>
      </c>
      <c r="U147" s="107" t="s">
        <v>350</v>
      </c>
      <c r="V147" s="107" t="s">
        <v>351</v>
      </c>
      <c r="W147" s="107" t="s">
        <v>352</v>
      </c>
      <c r="X147" s="107" t="s">
        <v>353</v>
      </c>
      <c r="Y147" s="107" t="s">
        <v>354</v>
      </c>
      <c r="Z147" s="107" t="s">
        <v>355</v>
      </c>
      <c r="AA147" s="107" t="s">
        <v>352</v>
      </c>
      <c r="AB147" s="107" t="s">
        <v>353</v>
      </c>
      <c r="AC147" s="107" t="s">
        <v>354</v>
      </c>
      <c r="AD147" s="107" t="s">
        <v>355</v>
      </c>
      <c r="AE147" s="107" t="s">
        <v>352</v>
      </c>
      <c r="AF147" s="434"/>
    </row>
    <row r="148" spans="1:32" ht="12.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12.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12.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12.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12.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12.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12.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12.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12.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12.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12.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12.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12.75">
      <c r="A160" s="7"/>
      <c r="B160" s="7"/>
      <c r="C160" s="7"/>
      <c r="D160" s="7"/>
      <c r="E160" s="7"/>
      <c r="F160" s="8">
        <f aca="true" t="shared" si="7" ref="F160:AE160">SUM(F148:F159)</f>
        <v>0</v>
      </c>
      <c r="G160" s="8">
        <f t="shared" si="7"/>
        <v>0</v>
      </c>
      <c r="H160" s="8">
        <f t="shared" si="7"/>
        <v>0</v>
      </c>
      <c r="I160" s="8">
        <f t="shared" si="7"/>
        <v>0</v>
      </c>
      <c r="J160" s="8">
        <f t="shared" si="7"/>
        <v>0</v>
      </c>
      <c r="K160" s="8">
        <f t="shared" si="7"/>
        <v>0</v>
      </c>
      <c r="L160" s="8">
        <f t="shared" si="7"/>
        <v>0</v>
      </c>
      <c r="M160" s="8">
        <f t="shared" si="7"/>
        <v>0</v>
      </c>
      <c r="N160" s="8">
        <f t="shared" si="7"/>
        <v>0</v>
      </c>
      <c r="O160" s="8">
        <f t="shared" si="7"/>
        <v>0</v>
      </c>
      <c r="P160" s="8">
        <f t="shared" si="7"/>
        <v>0</v>
      </c>
      <c r="Q160" s="8">
        <f t="shared" si="7"/>
        <v>0</v>
      </c>
      <c r="R160" s="8">
        <f t="shared" si="7"/>
        <v>0</v>
      </c>
      <c r="S160" s="8">
        <f t="shared" si="7"/>
        <v>0</v>
      </c>
      <c r="T160" s="8">
        <f t="shared" si="7"/>
        <v>0</v>
      </c>
      <c r="U160" s="8">
        <f t="shared" si="7"/>
        <v>0</v>
      </c>
      <c r="V160" s="8">
        <f t="shared" si="7"/>
        <v>0</v>
      </c>
      <c r="W160" s="8">
        <f t="shared" si="7"/>
        <v>0</v>
      </c>
      <c r="X160" s="8">
        <f t="shared" si="7"/>
        <v>0</v>
      </c>
      <c r="Y160" s="8">
        <f t="shared" si="7"/>
        <v>0</v>
      </c>
      <c r="Z160" s="8">
        <f t="shared" si="7"/>
        <v>0</v>
      </c>
      <c r="AA160" s="8">
        <f t="shared" si="7"/>
        <v>0</v>
      </c>
      <c r="AB160" s="8">
        <f t="shared" si="7"/>
        <v>0</v>
      </c>
      <c r="AC160" s="8">
        <f t="shared" si="7"/>
        <v>0</v>
      </c>
      <c r="AD160" s="8">
        <f t="shared" si="7"/>
        <v>0</v>
      </c>
      <c r="AE160" s="8">
        <f t="shared" si="7"/>
        <v>0</v>
      </c>
      <c r="AF160" s="7"/>
    </row>
    <row r="163" spans="1:32" ht="12.75">
      <c r="A163" s="61" t="s">
        <v>478</v>
      </c>
      <c r="B163" s="61"/>
      <c r="C163" s="61"/>
      <c r="D163" s="104"/>
      <c r="E163" s="103"/>
      <c r="F163" s="61"/>
      <c r="G163" s="61"/>
      <c r="H163" s="61"/>
      <c r="I163" s="61"/>
      <c r="J163" s="61"/>
      <c r="K163" s="61"/>
      <c r="L163" s="61"/>
      <c r="M163" s="61"/>
      <c r="N163" s="61"/>
      <c r="O163" s="61"/>
      <c r="P163" s="61"/>
      <c r="Q163" s="61"/>
      <c r="R163" s="10"/>
      <c r="S163" s="10"/>
      <c r="T163" s="10"/>
      <c r="U163" s="10"/>
      <c r="V163" s="10"/>
      <c r="W163" s="10"/>
      <c r="X163" s="10"/>
      <c r="Y163" s="10"/>
      <c r="Z163" s="61"/>
      <c r="AA163" s="61"/>
      <c r="AB163" s="61"/>
      <c r="AC163" s="61"/>
      <c r="AD163" s="61"/>
      <c r="AE163" s="61"/>
      <c r="AF163" s="10"/>
    </row>
    <row r="164" spans="1:32" ht="12.75">
      <c r="A164" s="10"/>
      <c r="B164" s="10"/>
      <c r="C164" s="10"/>
      <c r="D164" s="77"/>
      <c r="E164" s="105"/>
      <c r="F164" s="10"/>
      <c r="G164" s="10"/>
      <c r="H164" s="10"/>
      <c r="I164" s="10"/>
      <c r="J164" s="10"/>
      <c r="K164" s="10"/>
      <c r="L164" s="10"/>
      <c r="M164" s="10" t="s">
        <v>375</v>
      </c>
      <c r="N164" s="10"/>
      <c r="O164" s="10"/>
      <c r="P164" s="10"/>
      <c r="Q164" s="10"/>
      <c r="R164" s="10"/>
      <c r="S164" s="10"/>
      <c r="T164" s="10"/>
      <c r="U164" s="10"/>
      <c r="V164" s="10"/>
      <c r="W164" s="10"/>
      <c r="X164" s="10"/>
      <c r="Y164" s="62"/>
      <c r="Z164" s="10"/>
      <c r="AA164" s="10"/>
      <c r="AB164" s="10"/>
      <c r="AC164" s="10"/>
      <c r="AD164" s="10"/>
      <c r="AE164" s="10"/>
      <c r="AF164" s="10"/>
    </row>
    <row r="165" spans="1:32" ht="12.75">
      <c r="A165" s="430" t="s">
        <v>324</v>
      </c>
      <c r="B165" s="430"/>
      <c r="C165" s="430"/>
      <c r="D165" s="430"/>
      <c r="E165" s="430"/>
      <c r="F165" s="430" t="s">
        <v>325</v>
      </c>
      <c r="G165" s="432"/>
      <c r="H165" s="432"/>
      <c r="I165" s="432"/>
      <c r="J165" s="432"/>
      <c r="K165" s="432"/>
      <c r="L165" s="432"/>
      <c r="M165" s="430" t="s">
        <v>326</v>
      </c>
      <c r="N165" s="433"/>
      <c r="O165" s="433"/>
      <c r="P165" s="433"/>
      <c r="Q165" s="433"/>
      <c r="R165" s="433"/>
      <c r="S165" s="433"/>
      <c r="T165" s="428" t="s">
        <v>327</v>
      </c>
      <c r="U165" s="428"/>
      <c r="V165" s="428"/>
      <c r="W165" s="428"/>
      <c r="X165" s="428" t="s">
        <v>328</v>
      </c>
      <c r="Y165" s="428"/>
      <c r="Z165" s="428" t="s">
        <v>329</v>
      </c>
      <c r="AA165" s="428"/>
      <c r="AB165" s="428" t="s">
        <v>330</v>
      </c>
      <c r="AC165" s="428"/>
      <c r="AD165" s="428" t="s">
        <v>329</v>
      </c>
      <c r="AE165" s="428"/>
      <c r="AF165" s="434" t="s">
        <v>107</v>
      </c>
    </row>
    <row r="166" spans="1:32" ht="12.75">
      <c r="A166" s="430" t="s">
        <v>331</v>
      </c>
      <c r="B166" s="430" t="s">
        <v>332</v>
      </c>
      <c r="C166" s="430" t="s">
        <v>333</v>
      </c>
      <c r="D166" s="429" t="s">
        <v>371</v>
      </c>
      <c r="E166" s="429" t="s">
        <v>370</v>
      </c>
      <c r="F166" s="430" t="s">
        <v>334</v>
      </c>
      <c r="G166" s="430" t="s">
        <v>335</v>
      </c>
      <c r="H166" s="430" t="s">
        <v>336</v>
      </c>
      <c r="I166" s="430" t="s">
        <v>337</v>
      </c>
      <c r="J166" s="430" t="s">
        <v>338</v>
      </c>
      <c r="K166" s="430" t="s">
        <v>339</v>
      </c>
      <c r="L166" s="430" t="s">
        <v>356</v>
      </c>
      <c r="M166" s="430" t="s">
        <v>340</v>
      </c>
      <c r="N166" s="430" t="s">
        <v>341</v>
      </c>
      <c r="O166" s="430" t="s">
        <v>342</v>
      </c>
      <c r="P166" s="430"/>
      <c r="Q166" s="430"/>
      <c r="R166" s="430"/>
      <c r="S166" s="430"/>
      <c r="T166" s="428" t="s">
        <v>343</v>
      </c>
      <c r="U166" s="428"/>
      <c r="V166" s="428"/>
      <c r="W166" s="428"/>
      <c r="X166" s="428" t="s">
        <v>343</v>
      </c>
      <c r="Y166" s="428"/>
      <c r="Z166" s="428"/>
      <c r="AA166" s="428"/>
      <c r="AB166" s="428"/>
      <c r="AC166" s="428"/>
      <c r="AD166" s="428"/>
      <c r="AE166" s="428"/>
      <c r="AF166" s="434"/>
    </row>
    <row r="167" spans="1:32" ht="51">
      <c r="A167" s="430"/>
      <c r="B167" s="430"/>
      <c r="C167" s="430"/>
      <c r="D167" s="429"/>
      <c r="E167" s="429"/>
      <c r="F167" s="431"/>
      <c r="G167" s="431"/>
      <c r="H167" s="431"/>
      <c r="I167" s="431"/>
      <c r="J167" s="431"/>
      <c r="K167" s="431"/>
      <c r="L167" s="431"/>
      <c r="M167" s="432"/>
      <c r="N167" s="430"/>
      <c r="O167" s="107" t="s">
        <v>344</v>
      </c>
      <c r="P167" s="107" t="s">
        <v>345</v>
      </c>
      <c r="Q167" s="107" t="s">
        <v>346</v>
      </c>
      <c r="R167" s="107" t="s">
        <v>347</v>
      </c>
      <c r="S167" s="107" t="s">
        <v>348</v>
      </c>
      <c r="T167" s="107" t="s">
        <v>349</v>
      </c>
      <c r="U167" s="107" t="s">
        <v>350</v>
      </c>
      <c r="V167" s="107" t="s">
        <v>351</v>
      </c>
      <c r="W167" s="107" t="s">
        <v>352</v>
      </c>
      <c r="X167" s="107" t="s">
        <v>353</v>
      </c>
      <c r="Y167" s="107" t="s">
        <v>354</v>
      </c>
      <c r="Z167" s="107" t="s">
        <v>355</v>
      </c>
      <c r="AA167" s="107" t="s">
        <v>352</v>
      </c>
      <c r="AB167" s="107" t="s">
        <v>353</v>
      </c>
      <c r="AC167" s="107" t="s">
        <v>354</v>
      </c>
      <c r="AD167" s="107" t="s">
        <v>355</v>
      </c>
      <c r="AE167" s="107" t="s">
        <v>352</v>
      </c>
      <c r="AF167" s="434"/>
    </row>
    <row r="168" spans="1:32" ht="12.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12.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12.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12.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12.75">
      <c r="A180" s="7"/>
      <c r="B180" s="7"/>
      <c r="C180" s="7"/>
      <c r="D180" s="7"/>
      <c r="E180" s="7"/>
      <c r="F180" s="8">
        <f aca="true" t="shared" si="8" ref="F180:AE180">SUM(F168:F179)</f>
        <v>0</v>
      </c>
      <c r="G180" s="8">
        <f t="shared" si="8"/>
        <v>0</v>
      </c>
      <c r="H180" s="8">
        <f t="shared" si="8"/>
        <v>0</v>
      </c>
      <c r="I180" s="8">
        <f t="shared" si="8"/>
        <v>0</v>
      </c>
      <c r="J180" s="8">
        <f t="shared" si="8"/>
        <v>0</v>
      </c>
      <c r="K180" s="8">
        <f t="shared" si="8"/>
        <v>0</v>
      </c>
      <c r="L180" s="8">
        <f t="shared" si="8"/>
        <v>0</v>
      </c>
      <c r="M180" s="8">
        <f t="shared" si="8"/>
        <v>0</v>
      </c>
      <c r="N180" s="8">
        <f t="shared" si="8"/>
        <v>0</v>
      </c>
      <c r="O180" s="8">
        <f t="shared" si="8"/>
        <v>0</v>
      </c>
      <c r="P180" s="8">
        <f t="shared" si="8"/>
        <v>0</v>
      </c>
      <c r="Q180" s="8">
        <f t="shared" si="8"/>
        <v>0</v>
      </c>
      <c r="R180" s="8">
        <f t="shared" si="8"/>
        <v>0</v>
      </c>
      <c r="S180" s="8">
        <f t="shared" si="8"/>
        <v>0</v>
      </c>
      <c r="T180" s="8">
        <f t="shared" si="8"/>
        <v>0</v>
      </c>
      <c r="U180" s="8">
        <f t="shared" si="8"/>
        <v>0</v>
      </c>
      <c r="V180" s="8">
        <f t="shared" si="8"/>
        <v>0</v>
      </c>
      <c r="W180" s="8">
        <f t="shared" si="8"/>
        <v>0</v>
      </c>
      <c r="X180" s="8">
        <f t="shared" si="8"/>
        <v>0</v>
      </c>
      <c r="Y180" s="8">
        <f t="shared" si="8"/>
        <v>0</v>
      </c>
      <c r="Z180" s="8">
        <f t="shared" si="8"/>
        <v>0</v>
      </c>
      <c r="AA180" s="8">
        <f t="shared" si="8"/>
        <v>0</v>
      </c>
      <c r="AB180" s="8">
        <f t="shared" si="8"/>
        <v>0</v>
      </c>
      <c r="AC180" s="8">
        <f t="shared" si="8"/>
        <v>0</v>
      </c>
      <c r="AD180" s="8">
        <f t="shared" si="8"/>
        <v>0</v>
      </c>
      <c r="AE180" s="8">
        <f t="shared" si="8"/>
        <v>0</v>
      </c>
      <c r="AF180" s="7"/>
    </row>
    <row r="183" spans="1:32" ht="12.75">
      <c r="A183" s="61" t="s">
        <v>479</v>
      </c>
      <c r="B183" s="61"/>
      <c r="C183" s="61"/>
      <c r="D183" s="104"/>
      <c r="E183" s="103"/>
      <c r="F183" s="61"/>
      <c r="G183" s="61"/>
      <c r="H183" s="61"/>
      <c r="I183" s="61"/>
      <c r="J183" s="61"/>
      <c r="K183" s="61"/>
      <c r="L183" s="61"/>
      <c r="M183" s="61"/>
      <c r="N183" s="61"/>
      <c r="O183" s="61"/>
      <c r="P183" s="61"/>
      <c r="Q183" s="61"/>
      <c r="R183" s="10"/>
      <c r="S183" s="10"/>
      <c r="T183" s="10"/>
      <c r="U183" s="10"/>
      <c r="V183" s="10"/>
      <c r="W183" s="10"/>
      <c r="X183" s="10"/>
      <c r="Y183" s="10"/>
      <c r="Z183" s="61"/>
      <c r="AA183" s="61"/>
      <c r="AB183" s="61"/>
      <c r="AC183" s="61"/>
      <c r="AD183" s="61"/>
      <c r="AE183" s="61"/>
      <c r="AF183" s="10"/>
    </row>
    <row r="184" spans="1:32" ht="12.75">
      <c r="A184" s="10"/>
      <c r="B184" s="10"/>
      <c r="C184" s="10"/>
      <c r="D184" s="77"/>
      <c r="E184" s="105"/>
      <c r="F184" s="10"/>
      <c r="G184" s="10"/>
      <c r="H184" s="10"/>
      <c r="I184" s="10"/>
      <c r="J184" s="10"/>
      <c r="K184" s="10"/>
      <c r="L184" s="10"/>
      <c r="M184" s="10" t="s">
        <v>375</v>
      </c>
      <c r="N184" s="10"/>
      <c r="O184" s="10"/>
      <c r="P184" s="10"/>
      <c r="Q184" s="10"/>
      <c r="R184" s="10"/>
      <c r="S184" s="10"/>
      <c r="T184" s="10"/>
      <c r="U184" s="10"/>
      <c r="V184" s="10"/>
      <c r="W184" s="10"/>
      <c r="X184" s="10"/>
      <c r="Y184" s="62"/>
      <c r="Z184" s="10"/>
      <c r="AA184" s="10"/>
      <c r="AB184" s="10"/>
      <c r="AC184" s="10"/>
      <c r="AD184" s="10"/>
      <c r="AE184" s="10"/>
      <c r="AF184" s="10"/>
    </row>
    <row r="185" spans="1:32" ht="12.75">
      <c r="A185" s="430" t="s">
        <v>324</v>
      </c>
      <c r="B185" s="430"/>
      <c r="C185" s="430"/>
      <c r="D185" s="430"/>
      <c r="E185" s="430"/>
      <c r="F185" s="430" t="s">
        <v>325</v>
      </c>
      <c r="G185" s="432"/>
      <c r="H185" s="432"/>
      <c r="I185" s="432"/>
      <c r="J185" s="432"/>
      <c r="K185" s="432"/>
      <c r="L185" s="432"/>
      <c r="M185" s="430" t="s">
        <v>326</v>
      </c>
      <c r="N185" s="433"/>
      <c r="O185" s="433"/>
      <c r="P185" s="433"/>
      <c r="Q185" s="433"/>
      <c r="R185" s="433"/>
      <c r="S185" s="433"/>
      <c r="T185" s="428" t="s">
        <v>327</v>
      </c>
      <c r="U185" s="428"/>
      <c r="V185" s="428"/>
      <c r="W185" s="428"/>
      <c r="X185" s="428" t="s">
        <v>328</v>
      </c>
      <c r="Y185" s="428"/>
      <c r="Z185" s="428" t="s">
        <v>329</v>
      </c>
      <c r="AA185" s="428"/>
      <c r="AB185" s="428" t="s">
        <v>330</v>
      </c>
      <c r="AC185" s="428"/>
      <c r="AD185" s="428" t="s">
        <v>329</v>
      </c>
      <c r="AE185" s="428"/>
      <c r="AF185" s="434" t="s">
        <v>107</v>
      </c>
    </row>
    <row r="186" spans="1:32" ht="12.75">
      <c r="A186" s="430" t="s">
        <v>331</v>
      </c>
      <c r="B186" s="430" t="s">
        <v>332</v>
      </c>
      <c r="C186" s="430" t="s">
        <v>333</v>
      </c>
      <c r="D186" s="429" t="s">
        <v>371</v>
      </c>
      <c r="E186" s="429" t="s">
        <v>370</v>
      </c>
      <c r="F186" s="430" t="s">
        <v>334</v>
      </c>
      <c r="G186" s="430" t="s">
        <v>335</v>
      </c>
      <c r="H186" s="430" t="s">
        <v>336</v>
      </c>
      <c r="I186" s="430" t="s">
        <v>337</v>
      </c>
      <c r="J186" s="430" t="s">
        <v>338</v>
      </c>
      <c r="K186" s="430" t="s">
        <v>339</v>
      </c>
      <c r="L186" s="430" t="s">
        <v>356</v>
      </c>
      <c r="M186" s="430" t="s">
        <v>340</v>
      </c>
      <c r="N186" s="430" t="s">
        <v>341</v>
      </c>
      <c r="O186" s="430" t="s">
        <v>342</v>
      </c>
      <c r="P186" s="430"/>
      <c r="Q186" s="430"/>
      <c r="R186" s="430"/>
      <c r="S186" s="430"/>
      <c r="T186" s="428" t="s">
        <v>343</v>
      </c>
      <c r="U186" s="428"/>
      <c r="V186" s="428"/>
      <c r="W186" s="428"/>
      <c r="X186" s="428" t="s">
        <v>343</v>
      </c>
      <c r="Y186" s="428"/>
      <c r="Z186" s="428"/>
      <c r="AA186" s="428"/>
      <c r="AB186" s="428"/>
      <c r="AC186" s="428"/>
      <c r="AD186" s="428"/>
      <c r="AE186" s="428"/>
      <c r="AF186" s="434"/>
    </row>
    <row r="187" spans="1:32" ht="51">
      <c r="A187" s="430"/>
      <c r="B187" s="430"/>
      <c r="C187" s="430"/>
      <c r="D187" s="429"/>
      <c r="E187" s="429"/>
      <c r="F187" s="431"/>
      <c r="G187" s="431"/>
      <c r="H187" s="431"/>
      <c r="I187" s="431"/>
      <c r="J187" s="431"/>
      <c r="K187" s="431"/>
      <c r="L187" s="431"/>
      <c r="M187" s="432"/>
      <c r="N187" s="430"/>
      <c r="O187" s="107" t="s">
        <v>344</v>
      </c>
      <c r="P187" s="107" t="s">
        <v>345</v>
      </c>
      <c r="Q187" s="107" t="s">
        <v>346</v>
      </c>
      <c r="R187" s="107" t="s">
        <v>347</v>
      </c>
      <c r="S187" s="107" t="s">
        <v>348</v>
      </c>
      <c r="T187" s="107" t="s">
        <v>349</v>
      </c>
      <c r="U187" s="107" t="s">
        <v>350</v>
      </c>
      <c r="V187" s="107" t="s">
        <v>351</v>
      </c>
      <c r="W187" s="107" t="s">
        <v>352</v>
      </c>
      <c r="X187" s="107" t="s">
        <v>353</v>
      </c>
      <c r="Y187" s="107" t="s">
        <v>354</v>
      </c>
      <c r="Z187" s="107" t="s">
        <v>355</v>
      </c>
      <c r="AA187" s="107" t="s">
        <v>352</v>
      </c>
      <c r="AB187" s="107" t="s">
        <v>353</v>
      </c>
      <c r="AC187" s="107" t="s">
        <v>354</v>
      </c>
      <c r="AD187" s="107" t="s">
        <v>355</v>
      </c>
      <c r="AE187" s="107" t="s">
        <v>352</v>
      </c>
      <c r="AF187" s="434"/>
    </row>
    <row r="188" spans="1:32" ht="12.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12.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12.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12.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12.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12.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12.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12.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12.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12.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12.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12.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12.75">
      <c r="A200" s="7"/>
      <c r="B200" s="7"/>
      <c r="C200" s="7"/>
      <c r="D200" s="7"/>
      <c r="E200" s="7"/>
      <c r="F200" s="8">
        <f aca="true" t="shared" si="9" ref="F200:AE200">SUM(F188:F199)</f>
        <v>0</v>
      </c>
      <c r="G200" s="8">
        <f t="shared" si="9"/>
        <v>0</v>
      </c>
      <c r="H200" s="8">
        <f t="shared" si="9"/>
        <v>0</v>
      </c>
      <c r="I200" s="8">
        <f t="shared" si="9"/>
        <v>0</v>
      </c>
      <c r="J200" s="8">
        <f t="shared" si="9"/>
        <v>0</v>
      </c>
      <c r="K200" s="8">
        <f t="shared" si="9"/>
        <v>0</v>
      </c>
      <c r="L200" s="8">
        <f t="shared" si="9"/>
        <v>0</v>
      </c>
      <c r="M200" s="8">
        <f t="shared" si="9"/>
        <v>0</v>
      </c>
      <c r="N200" s="8">
        <f t="shared" si="9"/>
        <v>0</v>
      </c>
      <c r="O200" s="8">
        <f t="shared" si="9"/>
        <v>0</v>
      </c>
      <c r="P200" s="8">
        <f t="shared" si="9"/>
        <v>0</v>
      </c>
      <c r="Q200" s="8">
        <f t="shared" si="9"/>
        <v>0</v>
      </c>
      <c r="R200" s="8">
        <f t="shared" si="9"/>
        <v>0</v>
      </c>
      <c r="S200" s="8">
        <f t="shared" si="9"/>
        <v>0</v>
      </c>
      <c r="T200" s="8">
        <f t="shared" si="9"/>
        <v>0</v>
      </c>
      <c r="U200" s="8">
        <f t="shared" si="9"/>
        <v>0</v>
      </c>
      <c r="V200" s="8">
        <f t="shared" si="9"/>
        <v>0</v>
      </c>
      <c r="W200" s="8">
        <f t="shared" si="9"/>
        <v>0</v>
      </c>
      <c r="X200" s="8">
        <f t="shared" si="9"/>
        <v>0</v>
      </c>
      <c r="Y200" s="8">
        <f t="shared" si="9"/>
        <v>0</v>
      </c>
      <c r="Z200" s="8">
        <f t="shared" si="9"/>
        <v>0</v>
      </c>
      <c r="AA200" s="8">
        <f t="shared" si="9"/>
        <v>0</v>
      </c>
      <c r="AB200" s="8">
        <f t="shared" si="9"/>
        <v>0</v>
      </c>
      <c r="AC200" s="8">
        <f t="shared" si="9"/>
        <v>0</v>
      </c>
      <c r="AD200" s="8">
        <f t="shared" si="9"/>
        <v>0</v>
      </c>
      <c r="AE200" s="8">
        <f t="shared" si="9"/>
        <v>0</v>
      </c>
      <c r="AF200" s="7"/>
    </row>
    <row r="203" spans="1:32" ht="12.75">
      <c r="A203" s="61" t="s">
        <v>480</v>
      </c>
      <c r="B203" s="61"/>
      <c r="C203" s="61"/>
      <c r="D203" s="104"/>
      <c r="E203" s="103"/>
      <c r="F203" s="61"/>
      <c r="G203" s="61"/>
      <c r="H203" s="61"/>
      <c r="I203" s="61"/>
      <c r="J203" s="61"/>
      <c r="K203" s="61"/>
      <c r="L203" s="61"/>
      <c r="M203" s="61"/>
      <c r="N203" s="61"/>
      <c r="O203" s="61"/>
      <c r="P203" s="61"/>
      <c r="Q203" s="61"/>
      <c r="R203" s="10"/>
      <c r="S203" s="10"/>
      <c r="T203" s="10"/>
      <c r="U203" s="10"/>
      <c r="V203" s="10"/>
      <c r="W203" s="10"/>
      <c r="X203" s="10"/>
      <c r="Y203" s="10"/>
      <c r="Z203" s="61"/>
      <c r="AA203" s="61"/>
      <c r="AB203" s="61"/>
      <c r="AC203" s="61"/>
      <c r="AD203" s="61"/>
      <c r="AE203" s="61"/>
      <c r="AF203" s="10"/>
    </row>
    <row r="204" spans="1:32" ht="12.75">
      <c r="A204" s="10"/>
      <c r="B204" s="10"/>
      <c r="C204" s="10"/>
      <c r="D204" s="77"/>
      <c r="E204" s="105"/>
      <c r="F204" s="10"/>
      <c r="G204" s="10"/>
      <c r="H204" s="10"/>
      <c r="I204" s="10"/>
      <c r="J204" s="10"/>
      <c r="K204" s="10"/>
      <c r="L204" s="10"/>
      <c r="M204" s="10" t="s">
        <v>375</v>
      </c>
      <c r="N204" s="10"/>
      <c r="O204" s="10"/>
      <c r="P204" s="10"/>
      <c r="Q204" s="10"/>
      <c r="R204" s="10"/>
      <c r="S204" s="10"/>
      <c r="T204" s="10"/>
      <c r="U204" s="10"/>
      <c r="V204" s="10"/>
      <c r="W204" s="10"/>
      <c r="X204" s="10"/>
      <c r="Y204" s="62"/>
      <c r="Z204" s="10"/>
      <c r="AA204" s="10"/>
      <c r="AB204" s="10"/>
      <c r="AC204" s="10"/>
      <c r="AD204" s="10"/>
      <c r="AE204" s="10"/>
      <c r="AF204" s="10"/>
    </row>
    <row r="205" spans="1:32" ht="12.75">
      <c r="A205" s="430" t="s">
        <v>324</v>
      </c>
      <c r="B205" s="430"/>
      <c r="C205" s="430"/>
      <c r="D205" s="430"/>
      <c r="E205" s="430"/>
      <c r="F205" s="430" t="s">
        <v>325</v>
      </c>
      <c r="G205" s="432"/>
      <c r="H205" s="432"/>
      <c r="I205" s="432"/>
      <c r="J205" s="432"/>
      <c r="K205" s="432"/>
      <c r="L205" s="432"/>
      <c r="M205" s="430" t="s">
        <v>326</v>
      </c>
      <c r="N205" s="433"/>
      <c r="O205" s="433"/>
      <c r="P205" s="433"/>
      <c r="Q205" s="433"/>
      <c r="R205" s="433"/>
      <c r="S205" s="433"/>
      <c r="T205" s="428" t="s">
        <v>327</v>
      </c>
      <c r="U205" s="428"/>
      <c r="V205" s="428"/>
      <c r="W205" s="428"/>
      <c r="X205" s="428" t="s">
        <v>328</v>
      </c>
      <c r="Y205" s="428"/>
      <c r="Z205" s="428" t="s">
        <v>329</v>
      </c>
      <c r="AA205" s="428"/>
      <c r="AB205" s="428" t="s">
        <v>330</v>
      </c>
      <c r="AC205" s="428"/>
      <c r="AD205" s="428" t="s">
        <v>329</v>
      </c>
      <c r="AE205" s="428"/>
      <c r="AF205" s="434" t="s">
        <v>107</v>
      </c>
    </row>
    <row r="206" spans="1:32" ht="12.75">
      <c r="A206" s="430" t="s">
        <v>331</v>
      </c>
      <c r="B206" s="430" t="s">
        <v>332</v>
      </c>
      <c r="C206" s="430" t="s">
        <v>333</v>
      </c>
      <c r="D206" s="429" t="s">
        <v>371</v>
      </c>
      <c r="E206" s="429" t="s">
        <v>370</v>
      </c>
      <c r="F206" s="430" t="s">
        <v>334</v>
      </c>
      <c r="G206" s="430" t="s">
        <v>335</v>
      </c>
      <c r="H206" s="430" t="s">
        <v>336</v>
      </c>
      <c r="I206" s="430" t="s">
        <v>337</v>
      </c>
      <c r="J206" s="430" t="s">
        <v>338</v>
      </c>
      <c r="K206" s="430" t="s">
        <v>339</v>
      </c>
      <c r="L206" s="430" t="s">
        <v>356</v>
      </c>
      <c r="M206" s="430" t="s">
        <v>340</v>
      </c>
      <c r="N206" s="430" t="s">
        <v>341</v>
      </c>
      <c r="O206" s="430" t="s">
        <v>342</v>
      </c>
      <c r="P206" s="430"/>
      <c r="Q206" s="430"/>
      <c r="R206" s="430"/>
      <c r="S206" s="430"/>
      <c r="T206" s="428" t="s">
        <v>343</v>
      </c>
      <c r="U206" s="428"/>
      <c r="V206" s="428"/>
      <c r="W206" s="428"/>
      <c r="X206" s="428" t="s">
        <v>343</v>
      </c>
      <c r="Y206" s="428"/>
      <c r="Z206" s="428"/>
      <c r="AA206" s="428"/>
      <c r="AB206" s="428"/>
      <c r="AC206" s="428"/>
      <c r="AD206" s="428"/>
      <c r="AE206" s="428"/>
      <c r="AF206" s="434"/>
    </row>
    <row r="207" spans="1:32" ht="51">
      <c r="A207" s="430"/>
      <c r="B207" s="430"/>
      <c r="C207" s="430"/>
      <c r="D207" s="429"/>
      <c r="E207" s="429"/>
      <c r="F207" s="431"/>
      <c r="G207" s="431"/>
      <c r="H207" s="431"/>
      <c r="I207" s="431"/>
      <c r="J207" s="431"/>
      <c r="K207" s="431"/>
      <c r="L207" s="431"/>
      <c r="M207" s="432"/>
      <c r="N207" s="430"/>
      <c r="O207" s="107" t="s">
        <v>344</v>
      </c>
      <c r="P207" s="107" t="s">
        <v>345</v>
      </c>
      <c r="Q207" s="107" t="s">
        <v>346</v>
      </c>
      <c r="R207" s="107" t="s">
        <v>347</v>
      </c>
      <c r="S207" s="107" t="s">
        <v>348</v>
      </c>
      <c r="T207" s="107" t="s">
        <v>349</v>
      </c>
      <c r="U207" s="107" t="s">
        <v>350</v>
      </c>
      <c r="V207" s="107" t="s">
        <v>351</v>
      </c>
      <c r="W207" s="107" t="s">
        <v>352</v>
      </c>
      <c r="X207" s="107" t="s">
        <v>353</v>
      </c>
      <c r="Y207" s="107" t="s">
        <v>354</v>
      </c>
      <c r="Z207" s="107" t="s">
        <v>355</v>
      </c>
      <c r="AA207" s="107" t="s">
        <v>352</v>
      </c>
      <c r="AB207" s="107" t="s">
        <v>353</v>
      </c>
      <c r="AC207" s="107" t="s">
        <v>354</v>
      </c>
      <c r="AD207" s="107" t="s">
        <v>355</v>
      </c>
      <c r="AE207" s="107" t="s">
        <v>352</v>
      </c>
      <c r="AF207" s="434"/>
    </row>
    <row r="208" spans="1:32" ht="12.7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12.7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12.7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12.7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12.7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12.7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12.7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12.7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12.7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12.7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12.7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12.7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12.75">
      <c r="A220" s="7"/>
      <c r="B220" s="7"/>
      <c r="C220" s="7"/>
      <c r="D220" s="7"/>
      <c r="E220" s="7"/>
      <c r="F220" s="8">
        <f aca="true" t="shared" si="10" ref="F220:AE220">SUM(F208:F219)</f>
        <v>0</v>
      </c>
      <c r="G220" s="8">
        <f t="shared" si="10"/>
        <v>0</v>
      </c>
      <c r="H220" s="8">
        <f t="shared" si="10"/>
        <v>0</v>
      </c>
      <c r="I220" s="8">
        <f t="shared" si="10"/>
        <v>0</v>
      </c>
      <c r="J220" s="8">
        <f t="shared" si="10"/>
        <v>0</v>
      </c>
      <c r="K220" s="8">
        <f t="shared" si="10"/>
        <v>0</v>
      </c>
      <c r="L220" s="8">
        <f t="shared" si="10"/>
        <v>0</v>
      </c>
      <c r="M220" s="8">
        <f t="shared" si="10"/>
        <v>0</v>
      </c>
      <c r="N220" s="8">
        <f t="shared" si="10"/>
        <v>0</v>
      </c>
      <c r="O220" s="8">
        <f t="shared" si="10"/>
        <v>0</v>
      </c>
      <c r="P220" s="8">
        <f t="shared" si="10"/>
        <v>0</v>
      </c>
      <c r="Q220" s="8">
        <f t="shared" si="10"/>
        <v>0</v>
      </c>
      <c r="R220" s="8">
        <f t="shared" si="10"/>
        <v>0</v>
      </c>
      <c r="S220" s="8">
        <f t="shared" si="10"/>
        <v>0</v>
      </c>
      <c r="T220" s="8">
        <f t="shared" si="10"/>
        <v>0</v>
      </c>
      <c r="U220" s="8">
        <f t="shared" si="10"/>
        <v>0</v>
      </c>
      <c r="V220" s="8">
        <f t="shared" si="10"/>
        <v>0</v>
      </c>
      <c r="W220" s="8">
        <f t="shared" si="10"/>
        <v>0</v>
      </c>
      <c r="X220" s="8">
        <f t="shared" si="10"/>
        <v>0</v>
      </c>
      <c r="Y220" s="8">
        <f t="shared" si="10"/>
        <v>0</v>
      </c>
      <c r="Z220" s="8">
        <f t="shared" si="10"/>
        <v>0</v>
      </c>
      <c r="AA220" s="8">
        <f t="shared" si="10"/>
        <v>0</v>
      </c>
      <c r="AB220" s="8">
        <f t="shared" si="10"/>
        <v>0</v>
      </c>
      <c r="AC220" s="8">
        <f t="shared" si="10"/>
        <v>0</v>
      </c>
      <c r="AD220" s="8">
        <f t="shared" si="10"/>
        <v>0</v>
      </c>
      <c r="AE220" s="8">
        <f t="shared" si="10"/>
        <v>0</v>
      </c>
      <c r="AF220" s="7"/>
    </row>
  </sheetData>
  <sheetProtection/>
  <mergeCells count="276">
    <mergeCell ref="A1:B1"/>
    <mergeCell ref="A5:E5"/>
    <mergeCell ref="F5:L5"/>
    <mergeCell ref="M5:S5"/>
    <mergeCell ref="T5:W5"/>
    <mergeCell ref="X5:AA5"/>
    <mergeCell ref="A6:A7"/>
    <mergeCell ref="B6:B7"/>
    <mergeCell ref="K6:K7"/>
    <mergeCell ref="L6:L7"/>
    <mergeCell ref="I6:I7"/>
    <mergeCell ref="J6:J7"/>
    <mergeCell ref="O6:S6"/>
    <mergeCell ref="T6:W6"/>
    <mergeCell ref="AB5:AE5"/>
    <mergeCell ref="AF5:AF7"/>
    <mergeCell ref="X6:AA6"/>
    <mergeCell ref="AB6:AE6"/>
    <mergeCell ref="M25:S25"/>
    <mergeCell ref="T25:W25"/>
    <mergeCell ref="C6:C7"/>
    <mergeCell ref="D6:D7"/>
    <mergeCell ref="E6:E7"/>
    <mergeCell ref="F6:F7"/>
    <mergeCell ref="G6:G7"/>
    <mergeCell ref="H6:H7"/>
    <mergeCell ref="M6:M7"/>
    <mergeCell ref="N6:N7"/>
    <mergeCell ref="AF25:AF27"/>
    <mergeCell ref="A26:A27"/>
    <mergeCell ref="B26:B27"/>
    <mergeCell ref="C26:C27"/>
    <mergeCell ref="D26:D27"/>
    <mergeCell ref="E26:E27"/>
    <mergeCell ref="F26:F27"/>
    <mergeCell ref="G26:G27"/>
    <mergeCell ref="H26:H27"/>
    <mergeCell ref="I26:I27"/>
    <mergeCell ref="X25:AA25"/>
    <mergeCell ref="AB25:AE25"/>
    <mergeCell ref="A45:E45"/>
    <mergeCell ref="F45:L45"/>
    <mergeCell ref="M45:S45"/>
    <mergeCell ref="T45:W45"/>
    <mergeCell ref="X45:AA45"/>
    <mergeCell ref="AB45:AE45"/>
    <mergeCell ref="A25:E25"/>
    <mergeCell ref="F25:L25"/>
    <mergeCell ref="I46:I47"/>
    <mergeCell ref="T26:W26"/>
    <mergeCell ref="X26:AA26"/>
    <mergeCell ref="AB26:AE26"/>
    <mergeCell ref="L26:L27"/>
    <mergeCell ref="M26:M27"/>
    <mergeCell ref="N26:N27"/>
    <mergeCell ref="O26:S26"/>
    <mergeCell ref="J26:J27"/>
    <mergeCell ref="K26:K27"/>
    <mergeCell ref="E46:E47"/>
    <mergeCell ref="F46:F47"/>
    <mergeCell ref="G46:G47"/>
    <mergeCell ref="H46:H47"/>
    <mergeCell ref="A46:A47"/>
    <mergeCell ref="B46:B47"/>
    <mergeCell ref="C46:C47"/>
    <mergeCell ref="D46:D47"/>
    <mergeCell ref="AF45:AF47"/>
    <mergeCell ref="AB46:AE46"/>
    <mergeCell ref="N46:N47"/>
    <mergeCell ref="O46:S46"/>
    <mergeCell ref="T46:W46"/>
    <mergeCell ref="X46:AA46"/>
    <mergeCell ref="J46:J47"/>
    <mergeCell ref="K46:K47"/>
    <mergeCell ref="L46:L47"/>
    <mergeCell ref="M46:M47"/>
    <mergeCell ref="AB85:AE85"/>
    <mergeCell ref="X66:AA66"/>
    <mergeCell ref="T85:W85"/>
    <mergeCell ref="X85:AA85"/>
    <mergeCell ref="L66:L67"/>
    <mergeCell ref="M66:M67"/>
    <mergeCell ref="A65:E65"/>
    <mergeCell ref="F65:L65"/>
    <mergeCell ref="M65:S65"/>
    <mergeCell ref="T65:W65"/>
    <mergeCell ref="B66:B67"/>
    <mergeCell ref="C66:C67"/>
    <mergeCell ref="D66:D67"/>
    <mergeCell ref="I66:I67"/>
    <mergeCell ref="H66:H67"/>
    <mergeCell ref="A66:A67"/>
    <mergeCell ref="AF65:AF67"/>
    <mergeCell ref="AB66:AE66"/>
    <mergeCell ref="N66:N67"/>
    <mergeCell ref="O66:S66"/>
    <mergeCell ref="T66:W66"/>
    <mergeCell ref="X65:AA65"/>
    <mergeCell ref="AB65:AE65"/>
    <mergeCell ref="A85:E85"/>
    <mergeCell ref="F85:L85"/>
    <mergeCell ref="M85:S85"/>
    <mergeCell ref="E66:E67"/>
    <mergeCell ref="F66:F67"/>
    <mergeCell ref="G66:G67"/>
    <mergeCell ref="F86:F87"/>
    <mergeCell ref="J66:J67"/>
    <mergeCell ref="K66:K67"/>
    <mergeCell ref="H86:H87"/>
    <mergeCell ref="I86:I87"/>
    <mergeCell ref="G86:G87"/>
    <mergeCell ref="A86:A87"/>
    <mergeCell ref="B86:B87"/>
    <mergeCell ref="C86:C87"/>
    <mergeCell ref="D86:D87"/>
    <mergeCell ref="T86:W86"/>
    <mergeCell ref="J86:J87"/>
    <mergeCell ref="K86:K87"/>
    <mergeCell ref="L86:L87"/>
    <mergeCell ref="M86:M87"/>
    <mergeCell ref="E86:E87"/>
    <mergeCell ref="AB86:AE86"/>
    <mergeCell ref="N86:N87"/>
    <mergeCell ref="O86:S86"/>
    <mergeCell ref="X86:AA86"/>
    <mergeCell ref="AF85:AF87"/>
    <mergeCell ref="A105:E105"/>
    <mergeCell ref="F105:L105"/>
    <mergeCell ref="M105:S105"/>
    <mergeCell ref="T105:W105"/>
    <mergeCell ref="X105:AA105"/>
    <mergeCell ref="N126:N127"/>
    <mergeCell ref="O126:S126"/>
    <mergeCell ref="T125:W125"/>
    <mergeCell ref="AF105:AF107"/>
    <mergeCell ref="AB106:AE106"/>
    <mergeCell ref="N106:N107"/>
    <mergeCell ref="O106:S106"/>
    <mergeCell ref="T106:W106"/>
    <mergeCell ref="AB105:AE105"/>
    <mergeCell ref="C106:C107"/>
    <mergeCell ref="D106:D107"/>
    <mergeCell ref="I106:I107"/>
    <mergeCell ref="AF125:AF127"/>
    <mergeCell ref="X125:AA125"/>
    <mergeCell ref="AB125:AE125"/>
    <mergeCell ref="X106:AA106"/>
    <mergeCell ref="L106:L107"/>
    <mergeCell ref="M106:M107"/>
    <mergeCell ref="AB126:AE126"/>
    <mergeCell ref="A125:E125"/>
    <mergeCell ref="F125:L125"/>
    <mergeCell ref="A126:A127"/>
    <mergeCell ref="M125:S125"/>
    <mergeCell ref="E106:E107"/>
    <mergeCell ref="F106:F107"/>
    <mergeCell ref="G106:G107"/>
    <mergeCell ref="H106:H107"/>
    <mergeCell ref="A106:A107"/>
    <mergeCell ref="B106:B107"/>
    <mergeCell ref="F126:F127"/>
    <mergeCell ref="J106:J107"/>
    <mergeCell ref="K106:K107"/>
    <mergeCell ref="H126:H127"/>
    <mergeCell ref="I126:I127"/>
    <mergeCell ref="G126:G127"/>
    <mergeCell ref="B126:B127"/>
    <mergeCell ref="C126:C127"/>
    <mergeCell ref="D126:D127"/>
    <mergeCell ref="T126:W126"/>
    <mergeCell ref="X126:AA126"/>
    <mergeCell ref="J126:J127"/>
    <mergeCell ref="K126:K127"/>
    <mergeCell ref="L126:L127"/>
    <mergeCell ref="M126:M127"/>
    <mergeCell ref="E126:E127"/>
    <mergeCell ref="A145:E145"/>
    <mergeCell ref="F145:L145"/>
    <mergeCell ref="M145:S145"/>
    <mergeCell ref="T145:W145"/>
    <mergeCell ref="X145:AA145"/>
    <mergeCell ref="AB145:AE145"/>
    <mergeCell ref="N166:N167"/>
    <mergeCell ref="O166:S166"/>
    <mergeCell ref="T165:W165"/>
    <mergeCell ref="AF145:AF147"/>
    <mergeCell ref="AB146:AE146"/>
    <mergeCell ref="N146:N147"/>
    <mergeCell ref="O146:S146"/>
    <mergeCell ref="T146:W146"/>
    <mergeCell ref="C146:C147"/>
    <mergeCell ref="D146:D147"/>
    <mergeCell ref="I146:I147"/>
    <mergeCell ref="AF165:AF167"/>
    <mergeCell ref="X165:AA165"/>
    <mergeCell ref="AB165:AE165"/>
    <mergeCell ref="X146:AA146"/>
    <mergeCell ref="L146:L147"/>
    <mergeCell ref="M146:M147"/>
    <mergeCell ref="AB166:AE166"/>
    <mergeCell ref="A165:E165"/>
    <mergeCell ref="F165:L165"/>
    <mergeCell ref="A166:A167"/>
    <mergeCell ref="M165:S165"/>
    <mergeCell ref="E146:E147"/>
    <mergeCell ref="F146:F147"/>
    <mergeCell ref="G146:G147"/>
    <mergeCell ref="H146:H147"/>
    <mergeCell ref="A146:A147"/>
    <mergeCell ref="B146:B147"/>
    <mergeCell ref="F166:F167"/>
    <mergeCell ref="J146:J147"/>
    <mergeCell ref="K146:K147"/>
    <mergeCell ref="H166:H167"/>
    <mergeCell ref="I166:I167"/>
    <mergeCell ref="G166:G167"/>
    <mergeCell ref="B166:B167"/>
    <mergeCell ref="C166:C167"/>
    <mergeCell ref="D166:D167"/>
    <mergeCell ref="T166:W166"/>
    <mergeCell ref="X166:AA166"/>
    <mergeCell ref="J166:J167"/>
    <mergeCell ref="K166:K167"/>
    <mergeCell ref="L166:L167"/>
    <mergeCell ref="M166:M167"/>
    <mergeCell ref="E166:E167"/>
    <mergeCell ref="A185:E185"/>
    <mergeCell ref="F185:L185"/>
    <mergeCell ref="M185:S185"/>
    <mergeCell ref="T185:W185"/>
    <mergeCell ref="X185:AA185"/>
    <mergeCell ref="AB185:AE185"/>
    <mergeCell ref="I186:I187"/>
    <mergeCell ref="X205:AA205"/>
    <mergeCell ref="AB205:AE205"/>
    <mergeCell ref="X186:AA186"/>
    <mergeCell ref="T205:W205"/>
    <mergeCell ref="J186:J187"/>
    <mergeCell ref="K186:K187"/>
    <mergeCell ref="L186:L187"/>
    <mergeCell ref="M186:M187"/>
    <mergeCell ref="H186:H187"/>
    <mergeCell ref="A186:A187"/>
    <mergeCell ref="B186:B187"/>
    <mergeCell ref="C186:C187"/>
    <mergeCell ref="D186:D187"/>
    <mergeCell ref="E186:E187"/>
    <mergeCell ref="F186:F187"/>
    <mergeCell ref="G186:G187"/>
    <mergeCell ref="AF185:AF187"/>
    <mergeCell ref="AB186:AE186"/>
    <mergeCell ref="N186:N187"/>
    <mergeCell ref="O186:S186"/>
    <mergeCell ref="T186:W186"/>
    <mergeCell ref="AF205:AF207"/>
    <mergeCell ref="AB206:AE206"/>
    <mergeCell ref="N206:N207"/>
    <mergeCell ref="O206:S206"/>
    <mergeCell ref="T206:W206"/>
    <mergeCell ref="A205:E205"/>
    <mergeCell ref="F205:L205"/>
    <mergeCell ref="M205:S205"/>
    <mergeCell ref="E206:E207"/>
    <mergeCell ref="F206:F207"/>
    <mergeCell ref="G206:G207"/>
    <mergeCell ref="H206:H207"/>
    <mergeCell ref="A206:A207"/>
    <mergeCell ref="B206:B207"/>
    <mergeCell ref="C206:C207"/>
    <mergeCell ref="X206:AA206"/>
    <mergeCell ref="D206:D207"/>
    <mergeCell ref="I206:I207"/>
    <mergeCell ref="J206:J207"/>
    <mergeCell ref="K206:K207"/>
    <mergeCell ref="L206:L207"/>
    <mergeCell ref="M206:M207"/>
  </mergeCells>
  <dataValidations count="1">
    <dataValidation type="decimal" allowBlank="1" showInputMessage="1" showErrorMessage="1" sqref="F1:L4 F23:L24 F43:L44 F63:L64 F83:L84 F103:L104 F123:L124 F143:L144 F163:L164 F183:L184 F203:L204">
      <formula1>-1000000000000000000</formula1>
      <formula2>10000000000000000000</formula2>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18"/>
  <sheetViews>
    <sheetView zoomScalePageLayoutView="0" workbookViewId="0" topLeftCell="A1">
      <selection activeCell="P9" sqref="P9"/>
    </sheetView>
  </sheetViews>
  <sheetFormatPr defaultColWidth="9.140625" defaultRowHeight="12.75"/>
  <cols>
    <col min="1" max="1" width="24.7109375" style="0" customWidth="1"/>
    <col min="2" max="2" width="7.140625" style="0" customWidth="1"/>
    <col min="3" max="4" width="7.57421875" style="0" bestFit="1" customWidth="1"/>
    <col min="5" max="5" width="8.57421875" style="0" bestFit="1" customWidth="1"/>
    <col min="6" max="13" width="7.57421875" style="0" bestFit="1" customWidth="1"/>
  </cols>
  <sheetData>
    <row r="1" ht="12.75">
      <c r="A1" s="9" t="s">
        <v>357</v>
      </c>
    </row>
    <row r="2" ht="12.75">
      <c r="A2" s="10" t="s">
        <v>358</v>
      </c>
    </row>
    <row r="3" spans="1:11" ht="12.75">
      <c r="A3" s="10"/>
      <c r="K3" t="s">
        <v>375</v>
      </c>
    </row>
    <row r="4" spans="1:13" ht="27.75" customHeight="1">
      <c r="A4" s="108" t="s">
        <v>359</v>
      </c>
      <c r="B4" s="108" t="s">
        <v>13</v>
      </c>
      <c r="C4" s="109" t="s">
        <v>14</v>
      </c>
      <c r="D4" s="109" t="s">
        <v>15</v>
      </c>
      <c r="E4" s="109" t="s">
        <v>108</v>
      </c>
      <c r="F4" s="109" t="s">
        <v>16</v>
      </c>
      <c r="G4" s="109" t="s">
        <v>17</v>
      </c>
      <c r="H4" s="109" t="s">
        <v>18</v>
      </c>
      <c r="I4" s="109" t="s">
        <v>19</v>
      </c>
      <c r="J4" s="109" t="s">
        <v>20</v>
      </c>
      <c r="K4" s="109" t="s">
        <v>21</v>
      </c>
      <c r="L4" s="109" t="s">
        <v>22</v>
      </c>
      <c r="M4" s="109" t="s">
        <v>23</v>
      </c>
    </row>
    <row r="5" spans="1:13" ht="17.25" customHeight="1">
      <c r="A5" s="22" t="s">
        <v>56</v>
      </c>
      <c r="B5" s="7"/>
      <c r="C5" s="7"/>
      <c r="D5" s="7"/>
      <c r="E5" s="7"/>
      <c r="F5" s="7"/>
      <c r="G5" s="7"/>
      <c r="H5" s="7"/>
      <c r="I5" s="7"/>
      <c r="J5" s="7"/>
      <c r="K5" s="7"/>
      <c r="L5" s="7"/>
      <c r="M5" s="7"/>
    </row>
    <row r="6" spans="1:13" ht="17.25" customHeight="1">
      <c r="A6" s="64" t="s">
        <v>360</v>
      </c>
      <c r="B6" s="7"/>
      <c r="C6" s="7"/>
      <c r="D6" s="321"/>
      <c r="E6" s="321"/>
      <c r="F6" s="321"/>
      <c r="G6" s="321"/>
      <c r="H6" s="321"/>
      <c r="I6" s="321"/>
      <c r="J6" s="321"/>
      <c r="K6" s="321"/>
      <c r="L6" s="7"/>
      <c r="M6" s="7"/>
    </row>
    <row r="7" spans="1:13" ht="17.25" customHeight="1">
      <c r="A7" s="64" t="s">
        <v>361</v>
      </c>
      <c r="B7" s="7"/>
      <c r="C7" s="319"/>
      <c r="D7" s="113"/>
      <c r="E7" s="113"/>
      <c r="F7" s="113"/>
      <c r="G7" s="113"/>
      <c r="H7" s="113"/>
      <c r="I7" s="113"/>
      <c r="J7" s="113"/>
      <c r="K7" s="113"/>
      <c r="L7" s="320"/>
      <c r="M7" s="7"/>
    </row>
    <row r="8" spans="1:13" ht="17.25" customHeight="1">
      <c r="A8" s="64" t="s">
        <v>362</v>
      </c>
      <c r="B8" s="7"/>
      <c r="C8" s="319"/>
      <c r="D8" s="113"/>
      <c r="E8" s="113"/>
      <c r="F8" s="113"/>
      <c r="G8" s="113"/>
      <c r="H8" s="113"/>
      <c r="I8" s="113"/>
      <c r="J8" s="113"/>
      <c r="K8" s="113"/>
      <c r="L8" s="320"/>
      <c r="M8" s="7"/>
    </row>
    <row r="9" spans="1:13" ht="17.25" customHeight="1">
      <c r="A9" s="19" t="s">
        <v>169</v>
      </c>
      <c r="B9" s="7"/>
      <c r="C9" s="319"/>
      <c r="D9" s="113"/>
      <c r="E9" s="113"/>
      <c r="F9" s="113"/>
      <c r="G9" s="113"/>
      <c r="H9" s="113"/>
      <c r="I9" s="113"/>
      <c r="J9" s="113"/>
      <c r="K9" s="113"/>
      <c r="L9" s="320"/>
      <c r="M9" s="7"/>
    </row>
    <row r="10" spans="1:13" ht="17.25" customHeight="1">
      <c r="A10" s="64" t="s">
        <v>360</v>
      </c>
      <c r="B10" s="7"/>
      <c r="C10" s="319"/>
      <c r="D10" s="113" t="s">
        <v>648</v>
      </c>
      <c r="E10" s="113"/>
      <c r="F10" s="113"/>
      <c r="G10" s="113"/>
      <c r="H10" s="113"/>
      <c r="I10" s="113"/>
      <c r="J10" s="113"/>
      <c r="K10" s="113"/>
      <c r="L10" s="320"/>
      <c r="M10" s="7"/>
    </row>
    <row r="11" spans="1:13" ht="17.25" customHeight="1">
      <c r="A11" s="64" t="s">
        <v>361</v>
      </c>
      <c r="B11" s="7"/>
      <c r="C11" s="319"/>
      <c r="D11" s="113"/>
      <c r="E11" s="113"/>
      <c r="F11" s="113"/>
      <c r="G11" s="113"/>
      <c r="H11" s="113"/>
      <c r="I11" s="113"/>
      <c r="J11" s="113"/>
      <c r="K11" s="113"/>
      <c r="L11" s="320"/>
      <c r="M11" s="7"/>
    </row>
    <row r="12" spans="1:13" ht="17.25" customHeight="1">
      <c r="A12" s="64" t="s">
        <v>362</v>
      </c>
      <c r="B12" s="7"/>
      <c r="C12" s="319"/>
      <c r="D12" s="113"/>
      <c r="E12" s="113"/>
      <c r="F12" s="113"/>
      <c r="G12" s="113"/>
      <c r="H12" s="113"/>
      <c r="I12" s="113"/>
      <c r="J12" s="113"/>
      <c r="K12" s="113"/>
      <c r="L12" s="320"/>
      <c r="M12" s="7"/>
    </row>
    <row r="13" spans="1:13" ht="17.25" customHeight="1">
      <c r="A13" s="26" t="s">
        <v>58</v>
      </c>
      <c r="B13" s="7"/>
      <c r="C13" s="319"/>
      <c r="D13" s="113"/>
      <c r="E13" s="113"/>
      <c r="F13" s="113"/>
      <c r="G13" s="113"/>
      <c r="H13" s="113"/>
      <c r="I13" s="113"/>
      <c r="J13" s="113"/>
      <c r="K13" s="113"/>
      <c r="L13" s="320"/>
      <c r="M13" s="7"/>
    </row>
    <row r="14" spans="1:13" ht="17.25" customHeight="1">
      <c r="A14" s="64" t="s">
        <v>360</v>
      </c>
      <c r="B14" s="7"/>
      <c r="C14" s="319"/>
      <c r="D14" s="113"/>
      <c r="E14" s="113"/>
      <c r="F14" s="113"/>
      <c r="G14" s="113"/>
      <c r="H14" s="113"/>
      <c r="I14" s="113"/>
      <c r="J14" s="113"/>
      <c r="K14" s="113"/>
      <c r="L14" s="320"/>
      <c r="M14" s="7"/>
    </row>
    <row r="15" spans="1:13" ht="17.25" customHeight="1">
      <c r="A15" s="64" t="s">
        <v>361</v>
      </c>
      <c r="B15" s="7"/>
      <c r="C15" s="7"/>
      <c r="D15" s="322"/>
      <c r="E15" s="322"/>
      <c r="F15" s="322"/>
      <c r="G15" s="322"/>
      <c r="H15" s="322"/>
      <c r="I15" s="322"/>
      <c r="J15" s="322"/>
      <c r="K15" s="322"/>
      <c r="L15" s="7"/>
      <c r="M15" s="7"/>
    </row>
    <row r="16" spans="1:13" ht="17.25" customHeight="1">
      <c r="A16" s="64" t="s">
        <v>362</v>
      </c>
      <c r="B16" s="7"/>
      <c r="C16" s="7"/>
      <c r="D16" s="7"/>
      <c r="E16" s="7"/>
      <c r="F16" s="7"/>
      <c r="G16" s="7"/>
      <c r="H16" s="7"/>
      <c r="I16" s="7"/>
      <c r="J16" s="7"/>
      <c r="K16" s="7"/>
      <c r="L16" s="7"/>
      <c r="M16" s="7"/>
    </row>
    <row r="18" ht="12.75">
      <c r="A18" s="106" t="s">
        <v>363</v>
      </c>
    </row>
  </sheetData>
  <sheetProtection/>
  <dataValidations count="1">
    <dataValidation type="decimal" allowBlank="1" showInputMessage="1" showErrorMessage="1" error="Enter in number format only" sqref="B4">
      <formula1>-1000000000000000</formula1>
      <formula2>100000000000000000</formula2>
    </dataValidation>
  </dataValidations>
  <printOptions horizontalCentered="1"/>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R438"/>
  <sheetViews>
    <sheetView zoomScalePageLayoutView="0" workbookViewId="0" topLeftCell="A271">
      <selection activeCell="A20" sqref="A20"/>
    </sheetView>
  </sheetViews>
  <sheetFormatPr defaultColWidth="9.140625" defaultRowHeight="12.75"/>
  <cols>
    <col min="1" max="1" width="9.00390625" style="0" customWidth="1"/>
    <col min="2" max="2" width="7.7109375" style="16" bestFit="1" customWidth="1"/>
    <col min="3" max="3" width="25.140625" style="0" bestFit="1" customWidth="1"/>
    <col min="4" max="4" width="5.7109375" style="0" bestFit="1" customWidth="1"/>
    <col min="5" max="5" width="6.8515625" style="0" bestFit="1" customWidth="1"/>
    <col min="6" max="6" width="8.140625" style="0" customWidth="1"/>
    <col min="9" max="9" width="7.421875" style="0" customWidth="1"/>
    <col min="10" max="10" width="9.8515625" style="0" bestFit="1" customWidth="1"/>
    <col min="11" max="11" width="9.28125" style="0" bestFit="1" customWidth="1"/>
    <col min="12" max="12" width="9.8515625" style="0" bestFit="1" customWidth="1"/>
    <col min="13" max="13" width="11.140625" style="0" customWidth="1"/>
    <col min="14" max="16" width="9.28125" style="0" bestFit="1" customWidth="1"/>
    <col min="17" max="17" width="8.8515625" style="0" customWidth="1"/>
    <col min="18" max="18" width="8.140625" style="0" bestFit="1" customWidth="1"/>
    <col min="20" max="20" width="5.00390625" style="0" bestFit="1" customWidth="1"/>
    <col min="21" max="21" width="6.00390625" style="0" bestFit="1" customWidth="1"/>
  </cols>
  <sheetData>
    <row r="1" spans="1:18" ht="12.75">
      <c r="A1" s="435" t="s">
        <v>276</v>
      </c>
      <c r="B1" s="435"/>
      <c r="C1" s="435"/>
      <c r="D1" s="61" t="s">
        <v>277</v>
      </c>
      <c r="E1" s="81"/>
      <c r="F1" s="81"/>
      <c r="G1" s="81"/>
      <c r="H1" s="81"/>
      <c r="I1" s="88"/>
      <c r="J1" s="81"/>
      <c r="K1" s="81"/>
      <c r="L1" s="81"/>
      <c r="M1" s="81"/>
      <c r="N1" s="81"/>
      <c r="O1" s="81"/>
      <c r="P1" s="81"/>
      <c r="Q1" s="81"/>
      <c r="R1" s="10"/>
    </row>
    <row r="2" spans="1:18" ht="12.75">
      <c r="A2" s="89"/>
      <c r="B2" s="90"/>
      <c r="C2" s="81"/>
      <c r="D2" s="81"/>
      <c r="E2" s="81"/>
      <c r="F2" s="81"/>
      <c r="G2" s="81"/>
      <c r="H2" s="81"/>
      <c r="I2" s="88"/>
      <c r="J2" s="81"/>
      <c r="K2" s="81"/>
      <c r="L2" s="81"/>
      <c r="M2" s="81"/>
      <c r="N2" s="81"/>
      <c r="O2" s="81"/>
      <c r="P2" s="90"/>
      <c r="Q2" s="90"/>
      <c r="R2" s="10"/>
    </row>
    <row r="3" spans="1:18" ht="38.25">
      <c r="A3" s="316" t="s">
        <v>645</v>
      </c>
      <c r="B3" s="90"/>
      <c r="C3" s="10"/>
      <c r="D3" s="9"/>
      <c r="E3" s="10"/>
      <c r="F3" s="10"/>
      <c r="G3" s="10"/>
      <c r="H3" s="10"/>
      <c r="I3" s="91"/>
      <c r="J3" s="10"/>
      <c r="K3" s="10"/>
      <c r="L3" s="10"/>
      <c r="M3" s="10"/>
      <c r="N3" s="10"/>
      <c r="O3" s="10"/>
      <c r="P3" s="10"/>
      <c r="Q3" s="62" t="s">
        <v>251</v>
      </c>
      <c r="R3" s="10"/>
    </row>
    <row r="4" spans="1:18" ht="56.25">
      <c r="A4" s="270" t="s">
        <v>252</v>
      </c>
      <c r="B4" s="270" t="s">
        <v>278</v>
      </c>
      <c r="C4" s="270" t="s">
        <v>311</v>
      </c>
      <c r="D4" s="270" t="s">
        <v>279</v>
      </c>
      <c r="E4" s="270" t="s">
        <v>255</v>
      </c>
      <c r="F4" s="270" t="s">
        <v>280</v>
      </c>
      <c r="G4" s="270" t="s">
        <v>261</v>
      </c>
      <c r="H4" s="270" t="s">
        <v>310</v>
      </c>
      <c r="I4" s="271" t="s">
        <v>262</v>
      </c>
      <c r="J4" s="270" t="s">
        <v>263</v>
      </c>
      <c r="K4" s="270" t="s">
        <v>264</v>
      </c>
      <c r="L4" s="270" t="s">
        <v>265</v>
      </c>
      <c r="M4" s="270" t="s">
        <v>266</v>
      </c>
      <c r="N4" s="270" t="s">
        <v>267</v>
      </c>
      <c r="O4" s="270" t="s">
        <v>268</v>
      </c>
      <c r="P4" s="270" t="s">
        <v>269</v>
      </c>
      <c r="Q4" s="270" t="s">
        <v>270</v>
      </c>
      <c r="R4" s="270" t="s">
        <v>107</v>
      </c>
    </row>
    <row r="5" spans="1:18" ht="15.75">
      <c r="A5" s="102" t="s">
        <v>288</v>
      </c>
      <c r="B5" s="64"/>
      <c r="C5" s="7"/>
      <c r="D5" s="7"/>
      <c r="E5" s="7"/>
      <c r="F5" s="7"/>
      <c r="G5" s="7"/>
      <c r="H5" s="7"/>
      <c r="I5" s="7"/>
      <c r="J5" s="8"/>
      <c r="K5" s="8"/>
      <c r="L5" s="8"/>
      <c r="M5" s="8"/>
      <c r="N5" s="8"/>
      <c r="O5" s="8"/>
      <c r="P5" s="8"/>
      <c r="Q5" s="8"/>
      <c r="R5" s="7"/>
    </row>
    <row r="6" spans="1:18" ht="12.75">
      <c r="A6" s="22" t="s">
        <v>281</v>
      </c>
      <c r="B6" s="64"/>
      <c r="C6" s="7"/>
      <c r="D6" s="7"/>
      <c r="E6" s="7"/>
      <c r="F6" s="7"/>
      <c r="G6" s="7"/>
      <c r="H6" s="7"/>
      <c r="I6" s="7"/>
      <c r="J6" s="8"/>
      <c r="K6" s="8"/>
      <c r="L6" s="8"/>
      <c r="M6" s="8"/>
      <c r="N6" s="8"/>
      <c r="O6" s="8"/>
      <c r="P6" s="8"/>
      <c r="Q6" s="8"/>
      <c r="R6" s="7"/>
    </row>
    <row r="7" spans="1:18" ht="12.75">
      <c r="A7" s="7"/>
      <c r="B7" s="64"/>
      <c r="C7" s="7"/>
      <c r="D7" s="7"/>
      <c r="E7" s="7"/>
      <c r="F7" s="7"/>
      <c r="G7" s="7"/>
      <c r="H7" s="7"/>
      <c r="I7" s="7"/>
      <c r="J7" s="13">
        <v>0</v>
      </c>
      <c r="K7" s="7"/>
      <c r="L7" s="7"/>
      <c r="M7" s="13">
        <f>+J7+K7-L7</f>
        <v>0</v>
      </c>
      <c r="N7" s="40">
        <f>(+J7+M7)/2*12.5/100</f>
        <v>0</v>
      </c>
      <c r="O7" s="13">
        <f>+N7</f>
        <v>0</v>
      </c>
      <c r="P7" s="13">
        <v>0</v>
      </c>
      <c r="Q7" s="13">
        <v>0</v>
      </c>
      <c r="R7" s="7"/>
    </row>
    <row r="8" spans="1:18" ht="12.75">
      <c r="A8" s="7"/>
      <c r="B8" s="64"/>
      <c r="C8" s="7"/>
      <c r="D8" s="7"/>
      <c r="E8" s="7"/>
      <c r="F8" s="7"/>
      <c r="G8" s="7"/>
      <c r="H8" s="7"/>
      <c r="I8" s="7"/>
      <c r="J8" s="13">
        <v>0</v>
      </c>
      <c r="K8" s="7"/>
      <c r="L8" s="7"/>
      <c r="M8" s="13">
        <f>+J8+K8-L8</f>
        <v>0</v>
      </c>
      <c r="N8" s="40">
        <f>(+J8+M8)/2*12.5/100</f>
        <v>0</v>
      </c>
      <c r="O8" s="13">
        <f>+N8</f>
        <v>0</v>
      </c>
      <c r="P8" s="13">
        <v>0</v>
      </c>
      <c r="Q8" s="13">
        <v>0</v>
      </c>
      <c r="R8" s="7"/>
    </row>
    <row r="9" spans="1:18" ht="12.75">
      <c r="A9" s="93"/>
      <c r="B9" s="94"/>
      <c r="C9" s="93"/>
      <c r="D9" s="93"/>
      <c r="E9" s="93"/>
      <c r="F9" s="93"/>
      <c r="G9" s="93"/>
      <c r="H9" s="93"/>
      <c r="I9" s="93"/>
      <c r="J9" s="31">
        <v>0</v>
      </c>
      <c r="K9" s="31">
        <f aca="true" t="shared" si="0" ref="K9:Q9">+K7+K8</f>
        <v>0</v>
      </c>
      <c r="L9" s="31">
        <f t="shared" si="0"/>
        <v>0</v>
      </c>
      <c r="M9" s="31">
        <f t="shared" si="0"/>
        <v>0</v>
      </c>
      <c r="N9" s="31">
        <f t="shared" si="0"/>
        <v>0</v>
      </c>
      <c r="O9" s="31">
        <f t="shared" si="0"/>
        <v>0</v>
      </c>
      <c r="P9" s="31">
        <f t="shared" si="0"/>
        <v>0</v>
      </c>
      <c r="Q9" s="31">
        <f t="shared" si="0"/>
        <v>0</v>
      </c>
      <c r="R9" s="93"/>
    </row>
    <row r="10" spans="1:18" ht="12.75">
      <c r="A10" s="22" t="s">
        <v>282</v>
      </c>
      <c r="B10" s="64"/>
      <c r="C10" s="7"/>
      <c r="D10" s="7"/>
      <c r="E10" s="7"/>
      <c r="F10" s="7"/>
      <c r="G10" s="7"/>
      <c r="H10" s="7"/>
      <c r="I10" s="7"/>
      <c r="J10" s="8"/>
      <c r="K10" s="8"/>
      <c r="L10" s="8"/>
      <c r="M10" s="8"/>
      <c r="N10" s="8"/>
      <c r="O10" s="8"/>
      <c r="P10" s="8"/>
      <c r="Q10" s="8"/>
      <c r="R10" s="7"/>
    </row>
    <row r="11" spans="1:18" ht="12.75">
      <c r="A11" s="7"/>
      <c r="B11" s="64"/>
      <c r="C11" s="7"/>
      <c r="D11" s="7"/>
      <c r="E11" s="7"/>
      <c r="F11" s="7"/>
      <c r="G11" s="7"/>
      <c r="H11" s="7"/>
      <c r="I11" s="7"/>
      <c r="J11" s="13">
        <v>0</v>
      </c>
      <c r="K11" s="7"/>
      <c r="L11" s="7"/>
      <c r="M11" s="13">
        <f>+J11+K11-L11</f>
        <v>0</v>
      </c>
      <c r="N11" s="40">
        <f>(+J11+M11)/2*12.5/100</f>
        <v>0</v>
      </c>
      <c r="O11" s="13">
        <f>+N11</f>
        <v>0</v>
      </c>
      <c r="P11" s="13">
        <v>0</v>
      </c>
      <c r="Q11" s="13">
        <v>0</v>
      </c>
      <c r="R11" s="7"/>
    </row>
    <row r="12" spans="1:18" ht="12.75">
      <c r="A12" s="7"/>
      <c r="B12" s="64"/>
      <c r="C12" s="7"/>
      <c r="D12" s="7"/>
      <c r="E12" s="7"/>
      <c r="F12" s="7"/>
      <c r="G12" s="7"/>
      <c r="H12" s="7"/>
      <c r="I12" s="7"/>
      <c r="J12" s="13">
        <v>0</v>
      </c>
      <c r="K12" s="7"/>
      <c r="L12" s="7"/>
      <c r="M12" s="13">
        <f>+J12+K12-L12</f>
        <v>0</v>
      </c>
      <c r="N12" s="40">
        <f>(+J12+M12)/2*12.5/100</f>
        <v>0</v>
      </c>
      <c r="O12" s="13">
        <f>+N12</f>
        <v>0</v>
      </c>
      <c r="P12" s="13">
        <v>0</v>
      </c>
      <c r="Q12" s="13">
        <v>0</v>
      </c>
      <c r="R12" s="7"/>
    </row>
    <row r="13" spans="1:18" ht="12.75">
      <c r="A13" s="93"/>
      <c r="B13" s="94"/>
      <c r="C13" s="93"/>
      <c r="D13" s="93"/>
      <c r="E13" s="93"/>
      <c r="F13" s="93"/>
      <c r="G13" s="93"/>
      <c r="H13" s="93"/>
      <c r="I13" s="93"/>
      <c r="J13" s="31">
        <v>0</v>
      </c>
      <c r="K13" s="31">
        <f aca="true" t="shared" si="1" ref="K13:Q13">+K11+K12</f>
        <v>0</v>
      </c>
      <c r="L13" s="31">
        <f t="shared" si="1"/>
        <v>0</v>
      </c>
      <c r="M13" s="31">
        <f t="shared" si="1"/>
        <v>0</v>
      </c>
      <c r="N13" s="31">
        <f t="shared" si="1"/>
        <v>0</v>
      </c>
      <c r="O13" s="31">
        <f t="shared" si="1"/>
        <v>0</v>
      </c>
      <c r="P13" s="31">
        <f t="shared" si="1"/>
        <v>0</v>
      </c>
      <c r="Q13" s="31">
        <f t="shared" si="1"/>
        <v>0</v>
      </c>
      <c r="R13" s="93"/>
    </row>
    <row r="14" spans="1:18" ht="12.75">
      <c r="A14" s="22" t="s">
        <v>283</v>
      </c>
      <c r="B14" s="64"/>
      <c r="C14" s="7"/>
      <c r="D14" s="7"/>
      <c r="E14" s="7"/>
      <c r="F14" s="7"/>
      <c r="G14" s="7"/>
      <c r="H14" s="7"/>
      <c r="I14" s="7"/>
      <c r="J14" s="8"/>
      <c r="K14" s="8"/>
      <c r="L14" s="8"/>
      <c r="M14" s="8"/>
      <c r="N14" s="8"/>
      <c r="O14" s="8"/>
      <c r="P14" s="8"/>
      <c r="Q14" s="8"/>
      <c r="R14" s="7"/>
    </row>
    <row r="15" spans="1:18" ht="12.75">
      <c r="A15" s="7"/>
      <c r="B15" s="64"/>
      <c r="C15" s="7"/>
      <c r="D15" s="7"/>
      <c r="E15" s="7"/>
      <c r="F15" s="7"/>
      <c r="G15" s="7"/>
      <c r="H15" s="7"/>
      <c r="I15" s="7"/>
      <c r="J15" s="13">
        <v>0</v>
      </c>
      <c r="K15" s="7"/>
      <c r="L15" s="7"/>
      <c r="M15" s="13">
        <f>+J15+K15-L15</f>
        <v>0</v>
      </c>
      <c r="N15" s="40">
        <f>(+J15+M15)/2*12.5/100</f>
        <v>0</v>
      </c>
      <c r="O15" s="13">
        <f>+N15</f>
        <v>0</v>
      </c>
      <c r="P15" s="13">
        <v>0</v>
      </c>
      <c r="Q15" s="13">
        <v>0</v>
      </c>
      <c r="R15" s="7"/>
    </row>
    <row r="16" spans="1:18" ht="12.75">
      <c r="A16" s="7"/>
      <c r="B16" s="64"/>
      <c r="C16" s="7"/>
      <c r="D16" s="7"/>
      <c r="E16" s="7"/>
      <c r="F16" s="7"/>
      <c r="G16" s="7"/>
      <c r="H16" s="7"/>
      <c r="I16" s="7"/>
      <c r="J16" s="13">
        <v>0</v>
      </c>
      <c r="K16" s="7"/>
      <c r="L16" s="7"/>
      <c r="M16" s="13">
        <f>+J16+K16-L16</f>
        <v>0</v>
      </c>
      <c r="N16" s="40">
        <f>(+J16+M16)/2*12.5/100</f>
        <v>0</v>
      </c>
      <c r="O16" s="13">
        <f>+N16</f>
        <v>0</v>
      </c>
      <c r="P16" s="13">
        <v>0</v>
      </c>
      <c r="Q16" s="13">
        <v>0</v>
      </c>
      <c r="R16" s="7"/>
    </row>
    <row r="17" spans="1:18" ht="12.75">
      <c r="A17" s="93"/>
      <c r="B17" s="94"/>
      <c r="C17" s="93"/>
      <c r="D17" s="93"/>
      <c r="E17" s="93"/>
      <c r="F17" s="93"/>
      <c r="G17" s="93"/>
      <c r="H17" s="93"/>
      <c r="I17" s="93"/>
      <c r="J17" s="31">
        <v>0</v>
      </c>
      <c r="K17" s="31">
        <f aca="true" t="shared" si="2" ref="K17:Q17">+K15+K16</f>
        <v>0</v>
      </c>
      <c r="L17" s="31">
        <f t="shared" si="2"/>
        <v>0</v>
      </c>
      <c r="M17" s="31">
        <f t="shared" si="2"/>
        <v>0</v>
      </c>
      <c r="N17" s="31">
        <f t="shared" si="2"/>
        <v>0</v>
      </c>
      <c r="O17" s="31">
        <f t="shared" si="2"/>
        <v>0</v>
      </c>
      <c r="P17" s="31">
        <f t="shared" si="2"/>
        <v>0</v>
      </c>
      <c r="Q17" s="31">
        <f t="shared" si="2"/>
        <v>0</v>
      </c>
      <c r="R17" s="93"/>
    </row>
    <row r="18" spans="1:18" ht="12.75">
      <c r="A18" s="22" t="s">
        <v>284</v>
      </c>
      <c r="B18" s="64"/>
      <c r="C18" s="7"/>
      <c r="D18" s="7"/>
      <c r="E18" s="7"/>
      <c r="F18" s="7"/>
      <c r="G18" s="7"/>
      <c r="H18" s="7"/>
      <c r="I18" s="7"/>
      <c r="J18" s="7"/>
      <c r="K18" s="7"/>
      <c r="L18" s="7"/>
      <c r="M18" s="7"/>
      <c r="N18" s="7"/>
      <c r="O18" s="7"/>
      <c r="P18" s="7"/>
      <c r="Q18" s="7"/>
      <c r="R18" s="7"/>
    </row>
    <row r="19" spans="1:18" ht="15">
      <c r="A19" s="7"/>
      <c r="B19" s="92">
        <v>53.301</v>
      </c>
      <c r="C19" s="7" t="s">
        <v>285</v>
      </c>
      <c r="D19" s="7"/>
      <c r="E19" s="7"/>
      <c r="F19" s="7"/>
      <c r="G19" s="7"/>
      <c r="H19" s="7"/>
      <c r="I19" s="7"/>
      <c r="J19" s="84">
        <v>3571.97</v>
      </c>
      <c r="K19" s="84">
        <v>594.69</v>
      </c>
      <c r="L19" s="295">
        <v>357.2</v>
      </c>
      <c r="M19" s="84">
        <f aca="true" t="shared" si="3" ref="M19:M43">+J19+K19-L19</f>
        <v>3809.46</v>
      </c>
      <c r="N19" s="296">
        <v>369.37</v>
      </c>
      <c r="O19" s="84">
        <f aca="true" t="shared" si="4" ref="O19:O44">+N19</f>
        <v>369.37</v>
      </c>
      <c r="P19" s="84">
        <v>0</v>
      </c>
      <c r="Q19" s="84">
        <v>0</v>
      </c>
      <c r="R19" s="285"/>
    </row>
    <row r="20" spans="1:18" ht="15">
      <c r="A20" s="7"/>
      <c r="B20" s="92">
        <v>53.71</v>
      </c>
      <c r="C20" s="7" t="s">
        <v>286</v>
      </c>
      <c r="D20" s="7"/>
      <c r="E20" s="7"/>
      <c r="F20" s="7"/>
      <c r="G20" s="7"/>
      <c r="H20" s="7"/>
      <c r="I20" s="7"/>
      <c r="J20" s="84">
        <v>480.0499999999998</v>
      </c>
      <c r="K20" s="84">
        <v>60.09</v>
      </c>
      <c r="L20" s="295">
        <v>48</v>
      </c>
      <c r="M20" s="84">
        <f t="shared" si="3"/>
        <v>492.13999999999976</v>
      </c>
      <c r="N20" s="296">
        <v>59.68</v>
      </c>
      <c r="O20" s="84">
        <f t="shared" si="4"/>
        <v>59.68</v>
      </c>
      <c r="P20" s="84">
        <v>0</v>
      </c>
      <c r="Q20" s="84">
        <v>0</v>
      </c>
      <c r="R20" s="285"/>
    </row>
    <row r="21" spans="1:18" ht="15">
      <c r="A21" s="7"/>
      <c r="B21" s="64">
        <v>53.722</v>
      </c>
      <c r="C21" s="7" t="s">
        <v>290</v>
      </c>
      <c r="D21" s="7"/>
      <c r="E21" s="7"/>
      <c r="F21" s="7"/>
      <c r="G21" s="7"/>
      <c r="H21" s="7"/>
      <c r="I21" s="7"/>
      <c r="J21" s="84">
        <v>-0.009999999999997122</v>
      </c>
      <c r="K21" s="84"/>
      <c r="L21" s="295"/>
      <c r="M21" s="84">
        <f t="shared" si="3"/>
        <v>-0.009999999999997122</v>
      </c>
      <c r="N21" s="296"/>
      <c r="O21" s="84">
        <f t="shared" si="4"/>
        <v>0</v>
      </c>
      <c r="P21" s="84">
        <v>0</v>
      </c>
      <c r="Q21" s="84">
        <v>0</v>
      </c>
      <c r="R21" s="285"/>
    </row>
    <row r="22" spans="1:18" ht="15">
      <c r="A22" s="7"/>
      <c r="B22" s="64">
        <v>53.723</v>
      </c>
      <c r="C22" s="7" t="s">
        <v>291</v>
      </c>
      <c r="D22" s="7"/>
      <c r="E22" s="7"/>
      <c r="F22" s="7"/>
      <c r="G22" s="7"/>
      <c r="H22" s="7"/>
      <c r="I22" s="7"/>
      <c r="J22" s="84">
        <v>0</v>
      </c>
      <c r="K22" s="84"/>
      <c r="L22" s="296"/>
      <c r="M22" s="84">
        <f t="shared" si="3"/>
        <v>0</v>
      </c>
      <c r="N22" s="296"/>
      <c r="O22" s="84">
        <f t="shared" si="4"/>
        <v>0</v>
      </c>
      <c r="P22" s="84">
        <v>0</v>
      </c>
      <c r="Q22" s="84">
        <v>0</v>
      </c>
      <c r="R22" s="285"/>
    </row>
    <row r="23" spans="1:18" ht="15">
      <c r="A23" s="7"/>
      <c r="B23" s="92">
        <v>53.765</v>
      </c>
      <c r="C23" s="7" t="s">
        <v>292</v>
      </c>
      <c r="D23" s="7"/>
      <c r="E23" s="7"/>
      <c r="F23" s="7"/>
      <c r="G23" s="7"/>
      <c r="H23" s="7"/>
      <c r="I23" s="7"/>
      <c r="J23" s="84">
        <v>40.470000000000006</v>
      </c>
      <c r="K23" s="84"/>
      <c r="L23" s="295"/>
      <c r="M23" s="84">
        <f t="shared" si="3"/>
        <v>40.470000000000006</v>
      </c>
      <c r="N23" s="296">
        <v>3.89</v>
      </c>
      <c r="O23" s="84">
        <f t="shared" si="4"/>
        <v>3.89</v>
      </c>
      <c r="P23" s="84">
        <v>0</v>
      </c>
      <c r="Q23" s="84">
        <v>0</v>
      </c>
      <c r="R23" s="285"/>
    </row>
    <row r="24" spans="1:18" ht="15">
      <c r="A24" s="7"/>
      <c r="B24" s="92">
        <v>53.73</v>
      </c>
      <c r="C24" s="7" t="s">
        <v>389</v>
      </c>
      <c r="D24" s="7"/>
      <c r="E24" s="7"/>
      <c r="F24" s="7"/>
      <c r="G24" s="7"/>
      <c r="H24" s="7"/>
      <c r="I24" s="7"/>
      <c r="J24" s="84">
        <v>0</v>
      </c>
      <c r="K24" s="84"/>
      <c r="L24" s="295"/>
      <c r="M24" s="84">
        <f t="shared" si="3"/>
        <v>0</v>
      </c>
      <c r="N24" s="296"/>
      <c r="O24" s="84">
        <f t="shared" si="4"/>
        <v>0</v>
      </c>
      <c r="P24" s="84">
        <v>0</v>
      </c>
      <c r="Q24" s="84">
        <v>0</v>
      </c>
      <c r="R24" s="285"/>
    </row>
    <row r="25" spans="1:18" ht="15">
      <c r="A25" s="7"/>
      <c r="B25" s="64">
        <v>53.745</v>
      </c>
      <c r="C25" s="7" t="s">
        <v>293</v>
      </c>
      <c r="D25" s="7"/>
      <c r="E25" s="7"/>
      <c r="F25" s="7"/>
      <c r="G25" s="7"/>
      <c r="H25" s="7"/>
      <c r="I25" s="7"/>
      <c r="J25" s="84">
        <v>138.01999999999998</v>
      </c>
      <c r="K25" s="84">
        <v>23.44</v>
      </c>
      <c r="L25" s="296">
        <f>49.4-18.32-5.32-10.45-5.24</f>
        <v>10.069999999999999</v>
      </c>
      <c r="M25" s="84">
        <f t="shared" si="3"/>
        <v>151.39</v>
      </c>
      <c r="N25" s="296">
        <f>6.99+9.66</f>
        <v>16.65</v>
      </c>
      <c r="O25" s="84">
        <f t="shared" si="4"/>
        <v>16.65</v>
      </c>
      <c r="P25" s="84">
        <v>0</v>
      </c>
      <c r="Q25" s="84">
        <v>0</v>
      </c>
      <c r="R25" s="285"/>
    </row>
    <row r="26" spans="1:18" ht="15">
      <c r="A26" s="7"/>
      <c r="B26" s="64">
        <v>53.746</v>
      </c>
      <c r="C26" s="7" t="s">
        <v>294</v>
      </c>
      <c r="D26" s="7"/>
      <c r="E26" s="7"/>
      <c r="F26" s="7"/>
      <c r="G26" s="7"/>
      <c r="H26" s="7"/>
      <c r="I26" s="7"/>
      <c r="J26" s="84">
        <v>12.859999999999994</v>
      </c>
      <c r="K26" s="84"/>
      <c r="L26" s="295"/>
      <c r="M26" s="84">
        <f t="shared" si="3"/>
        <v>12.859999999999994</v>
      </c>
      <c r="N26" s="296">
        <f>0.7+0.41</f>
        <v>1.1099999999999999</v>
      </c>
      <c r="O26" s="84">
        <f t="shared" si="4"/>
        <v>1.1099999999999999</v>
      </c>
      <c r="P26" s="84">
        <v>0</v>
      </c>
      <c r="Q26" s="84">
        <v>0</v>
      </c>
      <c r="R26" s="285"/>
    </row>
    <row r="27" spans="1:18" ht="15">
      <c r="A27" s="7"/>
      <c r="B27" s="64">
        <v>53.755</v>
      </c>
      <c r="C27" s="7" t="s">
        <v>295</v>
      </c>
      <c r="D27" s="7"/>
      <c r="E27" s="7"/>
      <c r="F27" s="7"/>
      <c r="G27" s="7"/>
      <c r="H27" s="7"/>
      <c r="I27" s="7"/>
      <c r="J27" s="84">
        <v>0</v>
      </c>
      <c r="K27" s="84"/>
      <c r="L27" s="295"/>
      <c r="M27" s="84">
        <f t="shared" si="3"/>
        <v>0</v>
      </c>
      <c r="N27" s="296"/>
      <c r="O27" s="84">
        <f t="shared" si="4"/>
        <v>0</v>
      </c>
      <c r="P27" s="84">
        <v>0</v>
      </c>
      <c r="Q27" s="84">
        <v>0</v>
      </c>
      <c r="R27" s="285"/>
    </row>
    <row r="28" spans="1:18" ht="15">
      <c r="A28" s="7"/>
      <c r="B28" s="64">
        <v>53.756</v>
      </c>
      <c r="C28" s="7" t="s">
        <v>296</v>
      </c>
      <c r="D28" s="7"/>
      <c r="E28" s="7"/>
      <c r="F28" s="7"/>
      <c r="G28" s="7"/>
      <c r="H28" s="7"/>
      <c r="I28" s="7"/>
      <c r="J28" s="84">
        <v>0</v>
      </c>
      <c r="K28" s="84"/>
      <c r="L28" s="295"/>
      <c r="M28" s="84">
        <f t="shared" si="3"/>
        <v>0</v>
      </c>
      <c r="N28" s="296">
        <v>0.2</v>
      </c>
      <c r="O28" s="84">
        <f t="shared" si="4"/>
        <v>0.2</v>
      </c>
      <c r="P28" s="84">
        <v>0</v>
      </c>
      <c r="Q28" s="84">
        <v>0</v>
      </c>
      <c r="R28" s="285"/>
    </row>
    <row r="29" spans="1:18" ht="15">
      <c r="A29" s="7"/>
      <c r="B29" s="64">
        <v>53.764</v>
      </c>
      <c r="C29" s="7" t="s">
        <v>297</v>
      </c>
      <c r="D29" s="7"/>
      <c r="E29" s="7"/>
      <c r="F29" s="7"/>
      <c r="G29" s="7"/>
      <c r="H29" s="7"/>
      <c r="I29" s="7"/>
      <c r="J29" s="84">
        <v>18.318999999999996</v>
      </c>
      <c r="K29" s="84"/>
      <c r="L29" s="295">
        <v>18.32</v>
      </c>
      <c r="M29" s="84">
        <f t="shared" si="3"/>
        <v>-0.0010000000000047748</v>
      </c>
      <c r="N29" s="296">
        <v>0.8</v>
      </c>
      <c r="O29" s="84">
        <f t="shared" si="4"/>
        <v>0.8</v>
      </c>
      <c r="P29" s="84">
        <v>0</v>
      </c>
      <c r="Q29" s="84">
        <v>0</v>
      </c>
      <c r="R29" s="285"/>
    </row>
    <row r="30" spans="1:18" ht="15">
      <c r="A30" s="7"/>
      <c r="B30" s="64">
        <v>53.766</v>
      </c>
      <c r="C30" s="7" t="s">
        <v>298</v>
      </c>
      <c r="D30" s="7"/>
      <c r="E30" s="7"/>
      <c r="F30" s="7"/>
      <c r="G30" s="7"/>
      <c r="H30" s="7"/>
      <c r="I30" s="7"/>
      <c r="J30" s="84">
        <v>5.320000000000004</v>
      </c>
      <c r="K30" s="84"/>
      <c r="L30" s="295">
        <v>5.32</v>
      </c>
      <c r="M30" s="84">
        <f t="shared" si="3"/>
        <v>0</v>
      </c>
      <c r="N30" s="296">
        <v>0.12</v>
      </c>
      <c r="O30" s="84">
        <f t="shared" si="4"/>
        <v>0.12</v>
      </c>
      <c r="P30" s="84">
        <v>0</v>
      </c>
      <c r="Q30" s="84">
        <v>0</v>
      </c>
      <c r="R30" s="285"/>
    </row>
    <row r="31" spans="1:18" ht="15">
      <c r="A31" s="7"/>
      <c r="B31" s="64">
        <v>53.767</v>
      </c>
      <c r="C31" s="7" t="s">
        <v>299</v>
      </c>
      <c r="D31" s="7"/>
      <c r="E31" s="7"/>
      <c r="F31" s="7"/>
      <c r="G31" s="7"/>
      <c r="H31" s="7"/>
      <c r="I31" s="7"/>
      <c r="J31" s="84">
        <v>0</v>
      </c>
      <c r="K31" s="84"/>
      <c r="L31" s="296"/>
      <c r="M31" s="84">
        <f t="shared" si="3"/>
        <v>0</v>
      </c>
      <c r="N31" s="296"/>
      <c r="O31" s="84">
        <f t="shared" si="4"/>
        <v>0</v>
      </c>
      <c r="P31" s="84">
        <v>0</v>
      </c>
      <c r="Q31" s="84">
        <v>0</v>
      </c>
      <c r="R31" s="285"/>
    </row>
    <row r="32" spans="1:18" ht="15">
      <c r="A32" s="7"/>
      <c r="B32" s="64">
        <v>73.768</v>
      </c>
      <c r="C32" s="7" t="s">
        <v>300</v>
      </c>
      <c r="D32" s="7"/>
      <c r="E32" s="7"/>
      <c r="F32" s="7"/>
      <c r="G32" s="7"/>
      <c r="H32" s="7"/>
      <c r="I32" s="7"/>
      <c r="J32" s="84">
        <v>3.885780586188048E-15</v>
      </c>
      <c r="K32" s="84"/>
      <c r="L32" s="295"/>
      <c r="M32" s="84">
        <f t="shared" si="3"/>
        <v>3.885780586188048E-15</v>
      </c>
      <c r="N32" s="296"/>
      <c r="O32" s="84">
        <f t="shared" si="4"/>
        <v>0</v>
      </c>
      <c r="P32" s="84">
        <v>0</v>
      </c>
      <c r="Q32" s="84">
        <v>0</v>
      </c>
      <c r="R32" s="285"/>
    </row>
    <row r="33" spans="1:18" ht="15">
      <c r="A33" s="7"/>
      <c r="B33" s="92">
        <v>53.769</v>
      </c>
      <c r="C33" s="7" t="s">
        <v>301</v>
      </c>
      <c r="D33" s="7"/>
      <c r="E33" s="7"/>
      <c r="F33" s="7"/>
      <c r="G33" s="7"/>
      <c r="H33" s="7"/>
      <c r="I33" s="7"/>
      <c r="J33" s="84">
        <v>0</v>
      </c>
      <c r="K33" s="84"/>
      <c r="L33" s="295"/>
      <c r="M33" s="84">
        <f t="shared" si="3"/>
        <v>0</v>
      </c>
      <c r="N33" s="296"/>
      <c r="O33" s="84">
        <f t="shared" si="4"/>
        <v>0</v>
      </c>
      <c r="P33" s="84">
        <v>0</v>
      </c>
      <c r="Q33" s="84">
        <v>0</v>
      </c>
      <c r="R33" s="285"/>
    </row>
    <row r="34" spans="1:18" ht="15">
      <c r="A34" s="7"/>
      <c r="B34" s="92">
        <v>53.77</v>
      </c>
      <c r="C34" s="7" t="s">
        <v>302</v>
      </c>
      <c r="D34" s="7"/>
      <c r="E34" s="7"/>
      <c r="F34" s="7"/>
      <c r="G34" s="7"/>
      <c r="H34" s="7"/>
      <c r="I34" s="7"/>
      <c r="J34" s="84">
        <v>0</v>
      </c>
      <c r="K34" s="84"/>
      <c r="L34" s="295"/>
      <c r="M34" s="84">
        <f t="shared" si="3"/>
        <v>0</v>
      </c>
      <c r="N34" s="296"/>
      <c r="O34" s="84">
        <f t="shared" si="4"/>
        <v>0</v>
      </c>
      <c r="P34" s="84">
        <v>0</v>
      </c>
      <c r="Q34" s="84">
        <v>0</v>
      </c>
      <c r="R34" s="285"/>
    </row>
    <row r="35" spans="1:18" ht="15">
      <c r="A35" s="7"/>
      <c r="B35" s="64">
        <v>53.771</v>
      </c>
      <c r="C35" s="7" t="s">
        <v>303</v>
      </c>
      <c r="D35" s="7"/>
      <c r="E35" s="7"/>
      <c r="F35" s="7"/>
      <c r="G35" s="7"/>
      <c r="H35" s="7"/>
      <c r="I35" s="7"/>
      <c r="J35" s="84">
        <v>0</v>
      </c>
      <c r="K35" s="84"/>
      <c r="L35" s="295"/>
      <c r="M35" s="84">
        <f t="shared" si="3"/>
        <v>0</v>
      </c>
      <c r="N35" s="296"/>
      <c r="O35" s="84">
        <f t="shared" si="4"/>
        <v>0</v>
      </c>
      <c r="P35" s="84">
        <v>0</v>
      </c>
      <c r="Q35" s="84">
        <v>0</v>
      </c>
      <c r="R35" s="285"/>
    </row>
    <row r="36" spans="1:18" ht="15">
      <c r="A36" s="7"/>
      <c r="B36" s="64">
        <v>53.774</v>
      </c>
      <c r="C36" s="7" t="s">
        <v>304</v>
      </c>
      <c r="D36" s="7"/>
      <c r="E36" s="7"/>
      <c r="F36" s="7"/>
      <c r="G36" s="7"/>
      <c r="H36" s="7"/>
      <c r="I36" s="7"/>
      <c r="J36" s="84">
        <v>0</v>
      </c>
      <c r="K36" s="84"/>
      <c r="L36" s="296"/>
      <c r="M36" s="84">
        <f t="shared" si="3"/>
        <v>0</v>
      </c>
      <c r="N36" s="296"/>
      <c r="O36" s="84">
        <f t="shared" si="4"/>
        <v>0</v>
      </c>
      <c r="P36" s="84">
        <v>0</v>
      </c>
      <c r="Q36" s="84">
        <v>0</v>
      </c>
      <c r="R36" s="285"/>
    </row>
    <row r="37" spans="1:18" ht="15">
      <c r="A37" s="7"/>
      <c r="B37" s="64">
        <v>53.775</v>
      </c>
      <c r="C37" s="7" t="s">
        <v>305</v>
      </c>
      <c r="D37" s="7"/>
      <c r="E37" s="7"/>
      <c r="F37" s="7"/>
      <c r="G37" s="7"/>
      <c r="H37" s="7"/>
      <c r="I37" s="7"/>
      <c r="J37" s="84">
        <v>0</v>
      </c>
      <c r="K37" s="84"/>
      <c r="L37" s="295"/>
      <c r="M37" s="84">
        <f t="shared" si="3"/>
        <v>0</v>
      </c>
      <c r="N37" s="296"/>
      <c r="O37" s="84">
        <f t="shared" si="4"/>
        <v>0</v>
      </c>
      <c r="P37" s="84">
        <v>0</v>
      </c>
      <c r="Q37" s="84">
        <v>0</v>
      </c>
      <c r="R37" s="285"/>
    </row>
    <row r="38" spans="1:18" ht="15">
      <c r="A38" s="7"/>
      <c r="B38" s="64">
        <v>53.531</v>
      </c>
      <c r="C38" s="7" t="s">
        <v>306</v>
      </c>
      <c r="D38" s="7"/>
      <c r="E38" s="7"/>
      <c r="F38" s="7"/>
      <c r="G38" s="7"/>
      <c r="H38" s="7"/>
      <c r="I38" s="7"/>
      <c r="J38" s="84">
        <v>114.24000000000001</v>
      </c>
      <c r="K38" s="84">
        <v>0.76</v>
      </c>
      <c r="L38" s="295">
        <v>11.42</v>
      </c>
      <c r="M38" s="84">
        <f t="shared" si="3"/>
        <v>103.58000000000001</v>
      </c>
      <c r="N38" s="296">
        <f>7.44+4.36</f>
        <v>11.8</v>
      </c>
      <c r="O38" s="84">
        <f t="shared" si="4"/>
        <v>11.8</v>
      </c>
      <c r="P38" s="84">
        <v>0</v>
      </c>
      <c r="Q38" s="84">
        <v>0</v>
      </c>
      <c r="R38" s="285"/>
    </row>
    <row r="39" spans="1:18" ht="15">
      <c r="A39" s="7"/>
      <c r="B39" s="64">
        <v>53.776</v>
      </c>
      <c r="C39" s="7" t="s">
        <v>307</v>
      </c>
      <c r="D39" s="7"/>
      <c r="E39" s="7"/>
      <c r="F39" s="7"/>
      <c r="G39" s="7"/>
      <c r="H39" s="7"/>
      <c r="I39" s="7"/>
      <c r="J39" s="84">
        <v>0</v>
      </c>
      <c r="K39" s="84"/>
      <c r="L39" s="295"/>
      <c r="M39" s="84">
        <f t="shared" si="3"/>
        <v>0</v>
      </c>
      <c r="N39" s="296"/>
      <c r="O39" s="84">
        <f t="shared" si="4"/>
        <v>0</v>
      </c>
      <c r="P39" s="84">
        <v>0</v>
      </c>
      <c r="Q39" s="84">
        <v>0</v>
      </c>
      <c r="R39" s="285"/>
    </row>
    <row r="40" spans="1:18" ht="15">
      <c r="A40" s="7"/>
      <c r="B40" s="64">
        <v>53.777</v>
      </c>
      <c r="C40" s="7" t="s">
        <v>390</v>
      </c>
      <c r="D40" s="7"/>
      <c r="E40" s="7"/>
      <c r="F40" s="7"/>
      <c r="G40" s="7"/>
      <c r="H40" s="7"/>
      <c r="I40" s="7"/>
      <c r="J40" s="84">
        <v>55.830000000000005</v>
      </c>
      <c r="K40" s="84"/>
      <c r="L40" s="295">
        <f>2.45+4+4</f>
        <v>10.45</v>
      </c>
      <c r="M40" s="84">
        <f t="shared" si="3"/>
        <v>45.38000000000001</v>
      </c>
      <c r="N40" s="296">
        <f>0.05+2.72</f>
        <v>2.77</v>
      </c>
      <c r="O40" s="84">
        <f t="shared" si="4"/>
        <v>2.77</v>
      </c>
      <c r="P40" s="84">
        <v>0</v>
      </c>
      <c r="Q40" s="84">
        <v>0</v>
      </c>
      <c r="R40" s="285"/>
    </row>
    <row r="41" spans="1:18" ht="15">
      <c r="A41" s="7"/>
      <c r="B41" s="64">
        <v>53.778</v>
      </c>
      <c r="C41" s="7" t="s">
        <v>486</v>
      </c>
      <c r="D41" s="7"/>
      <c r="E41" s="7"/>
      <c r="F41" s="7"/>
      <c r="G41" s="7"/>
      <c r="H41" s="7"/>
      <c r="I41" s="7"/>
      <c r="J41" s="84">
        <v>41.61</v>
      </c>
      <c r="K41" s="84"/>
      <c r="L41" s="295">
        <f>2.62+2.62</f>
        <v>5.24</v>
      </c>
      <c r="M41" s="84">
        <f t="shared" si="3"/>
        <v>36.37</v>
      </c>
      <c r="N41" s="296">
        <v>4.19</v>
      </c>
      <c r="O41" s="84">
        <f t="shared" si="4"/>
        <v>4.19</v>
      </c>
      <c r="P41" s="84">
        <v>0</v>
      </c>
      <c r="Q41" s="84">
        <v>0</v>
      </c>
      <c r="R41" s="285"/>
    </row>
    <row r="42" spans="1:18" ht="15">
      <c r="A42" s="7"/>
      <c r="B42" s="64">
        <v>53.749</v>
      </c>
      <c r="C42" s="7" t="s">
        <v>487</v>
      </c>
      <c r="D42" s="7"/>
      <c r="E42" s="7"/>
      <c r="F42" s="7"/>
      <c r="G42" s="7"/>
      <c r="H42" s="7"/>
      <c r="I42" s="7"/>
      <c r="J42" s="84">
        <v>95.44</v>
      </c>
      <c r="K42" s="84"/>
      <c r="L42" s="295"/>
      <c r="M42" s="84">
        <f t="shared" si="3"/>
        <v>95.44</v>
      </c>
      <c r="N42" s="296">
        <v>4.05</v>
      </c>
      <c r="O42" s="84">
        <f t="shared" si="4"/>
        <v>4.05</v>
      </c>
      <c r="P42" s="84">
        <v>0</v>
      </c>
      <c r="Q42" s="84">
        <v>0</v>
      </c>
      <c r="R42" s="285"/>
    </row>
    <row r="43" spans="1:18" ht="15">
      <c r="A43" s="7"/>
      <c r="B43" s="64"/>
      <c r="C43" s="7" t="s">
        <v>488</v>
      </c>
      <c r="D43" s="7"/>
      <c r="E43" s="7"/>
      <c r="F43" s="7"/>
      <c r="G43" s="7"/>
      <c r="H43" s="7"/>
      <c r="I43" s="7"/>
      <c r="J43" s="84">
        <v>86.1</v>
      </c>
      <c r="K43" s="84"/>
      <c r="L43" s="295"/>
      <c r="M43" s="84">
        <f t="shared" si="3"/>
        <v>86.1</v>
      </c>
      <c r="N43" s="296">
        <v>3.15</v>
      </c>
      <c r="O43" s="84">
        <f t="shared" si="4"/>
        <v>3.15</v>
      </c>
      <c r="P43" s="84">
        <v>0</v>
      </c>
      <c r="Q43" s="84">
        <v>0</v>
      </c>
      <c r="R43" s="285"/>
    </row>
    <row r="44" spans="1:18" ht="15">
      <c r="A44" s="7"/>
      <c r="B44" s="64"/>
      <c r="C44" s="7" t="s">
        <v>410</v>
      </c>
      <c r="D44" s="7"/>
      <c r="E44" s="7"/>
      <c r="F44" s="7"/>
      <c r="G44" s="7"/>
      <c r="H44" s="7"/>
      <c r="I44" s="7"/>
      <c r="J44" s="84">
        <v>0</v>
      </c>
      <c r="K44" s="84"/>
      <c r="L44" s="296"/>
      <c r="M44" s="84">
        <f>+J44+K44-L44</f>
        <v>0</v>
      </c>
      <c r="N44" s="296"/>
      <c r="O44" s="84">
        <f t="shared" si="4"/>
        <v>0</v>
      </c>
      <c r="P44" s="84">
        <v>0</v>
      </c>
      <c r="Q44" s="84">
        <v>0</v>
      </c>
      <c r="R44" s="285"/>
    </row>
    <row r="45" spans="1:18" ht="12.75">
      <c r="A45" s="93"/>
      <c r="B45" s="94"/>
      <c r="C45" s="93"/>
      <c r="D45" s="93"/>
      <c r="E45" s="93"/>
      <c r="F45" s="93"/>
      <c r="G45" s="93"/>
      <c r="H45" s="93"/>
      <c r="I45" s="93"/>
      <c r="J45" s="31">
        <v>4660.218999999998</v>
      </c>
      <c r="K45" s="31">
        <f aca="true" t="shared" si="5" ref="K45:Q45">SUM(K19:K44)</f>
        <v>678.9800000000001</v>
      </c>
      <c r="L45" s="31">
        <f t="shared" si="5"/>
        <v>466.02</v>
      </c>
      <c r="M45" s="31">
        <f t="shared" si="5"/>
        <v>4873.178999999999</v>
      </c>
      <c r="N45" s="31">
        <f t="shared" si="5"/>
        <v>477.78</v>
      </c>
      <c r="O45" s="31">
        <f t="shared" si="5"/>
        <v>477.78</v>
      </c>
      <c r="P45" s="31">
        <f t="shared" si="5"/>
        <v>0</v>
      </c>
      <c r="Q45" s="31">
        <f t="shared" si="5"/>
        <v>0</v>
      </c>
      <c r="R45" s="93"/>
    </row>
    <row r="46" spans="1:18" ht="12.75">
      <c r="A46" s="30"/>
      <c r="B46" s="95"/>
      <c r="C46" s="30"/>
      <c r="D46" s="30"/>
      <c r="E46" s="30"/>
      <c r="F46" s="30"/>
      <c r="G46" s="30"/>
      <c r="H46" s="30"/>
      <c r="I46" s="30"/>
      <c r="J46" s="31">
        <v>4660.218999999998</v>
      </c>
      <c r="K46" s="31">
        <f aca="true" t="shared" si="6" ref="K46:Q46">+K9+K13+K17+K45</f>
        <v>678.9800000000001</v>
      </c>
      <c r="L46" s="31">
        <f t="shared" si="6"/>
        <v>466.02</v>
      </c>
      <c r="M46" s="31">
        <f t="shared" si="6"/>
        <v>4873.178999999999</v>
      </c>
      <c r="N46" s="31">
        <f t="shared" si="6"/>
        <v>477.78</v>
      </c>
      <c r="O46" s="31">
        <f t="shared" si="6"/>
        <v>477.78</v>
      </c>
      <c r="P46" s="31">
        <f t="shared" si="6"/>
        <v>0</v>
      </c>
      <c r="Q46" s="31">
        <f t="shared" si="6"/>
        <v>0</v>
      </c>
      <c r="R46" s="30"/>
    </row>
    <row r="47" spans="1:18" ht="15.75">
      <c r="A47" s="102" t="s">
        <v>287</v>
      </c>
      <c r="B47" s="64"/>
      <c r="C47" s="7"/>
      <c r="D47" s="7"/>
      <c r="E47" s="7"/>
      <c r="F47" s="7"/>
      <c r="G47" s="7"/>
      <c r="H47" s="7"/>
      <c r="I47" s="7"/>
      <c r="J47" s="7"/>
      <c r="K47" s="7"/>
      <c r="L47" s="7"/>
      <c r="M47" s="7"/>
      <c r="N47" s="7"/>
      <c r="O47" s="7"/>
      <c r="P47" s="7"/>
      <c r="Q47" s="7"/>
      <c r="R47" s="7"/>
    </row>
    <row r="48" spans="1:18" ht="12.75">
      <c r="A48" s="22" t="s">
        <v>281</v>
      </c>
      <c r="B48" s="64"/>
      <c r="C48" s="7"/>
      <c r="D48" s="7"/>
      <c r="E48" s="7"/>
      <c r="F48" s="7"/>
      <c r="G48" s="7"/>
      <c r="H48" s="7"/>
      <c r="I48" s="7"/>
      <c r="J48" s="8"/>
      <c r="K48" s="8"/>
      <c r="L48" s="8"/>
      <c r="M48" s="8"/>
      <c r="N48" s="8"/>
      <c r="O48" s="8"/>
      <c r="P48" s="8"/>
      <c r="Q48" s="8"/>
      <c r="R48" s="7"/>
    </row>
    <row r="49" spans="1:18" ht="12.75">
      <c r="A49" s="22"/>
      <c r="B49" s="64"/>
      <c r="C49" s="7" t="s">
        <v>402</v>
      </c>
      <c r="D49" s="7"/>
      <c r="E49" s="7"/>
      <c r="F49" s="7"/>
      <c r="G49" s="7"/>
      <c r="H49" s="7"/>
      <c r="I49" s="7"/>
      <c r="J49" s="40">
        <v>0</v>
      </c>
      <c r="K49" s="8"/>
      <c r="L49" s="40"/>
      <c r="M49" s="13">
        <f>+J49+K49-L49</f>
        <v>0</v>
      </c>
      <c r="N49" s="40">
        <f>(+J49+M49)/2*12.5/100</f>
        <v>0</v>
      </c>
      <c r="O49" s="13">
        <f>+N49</f>
        <v>0</v>
      </c>
      <c r="P49" s="13">
        <v>0</v>
      </c>
      <c r="Q49" s="13">
        <v>0</v>
      </c>
      <c r="R49" s="7"/>
    </row>
    <row r="50" spans="1:18" ht="12.75">
      <c r="A50" s="22"/>
      <c r="B50" s="64"/>
      <c r="C50" s="7" t="s">
        <v>403</v>
      </c>
      <c r="D50" s="7"/>
      <c r="E50" s="7"/>
      <c r="F50" s="7"/>
      <c r="G50" s="7"/>
      <c r="H50" s="7"/>
      <c r="I50" s="7"/>
      <c r="J50" s="40">
        <v>0</v>
      </c>
      <c r="K50" s="8"/>
      <c r="L50" s="40"/>
      <c r="M50" s="13">
        <f>+J50+K50-L50</f>
        <v>0</v>
      </c>
      <c r="N50" s="40">
        <f>(+J50+M50)/2*12.5/100</f>
        <v>0</v>
      </c>
      <c r="O50" s="13">
        <f>+N50</f>
        <v>0</v>
      </c>
      <c r="P50" s="13">
        <v>0</v>
      </c>
      <c r="Q50" s="13">
        <v>0</v>
      </c>
      <c r="R50" s="7"/>
    </row>
    <row r="51" spans="1:18" ht="12.75">
      <c r="A51" s="22"/>
      <c r="B51" s="64"/>
      <c r="C51" s="7" t="s">
        <v>404</v>
      </c>
      <c r="D51" s="7"/>
      <c r="E51" s="7"/>
      <c r="F51" s="7"/>
      <c r="G51" s="7"/>
      <c r="H51" s="7"/>
      <c r="I51" s="7"/>
      <c r="J51" s="40">
        <v>0</v>
      </c>
      <c r="K51" s="8"/>
      <c r="L51" s="40"/>
      <c r="M51" s="13">
        <f>+J51+K51-L51</f>
        <v>0</v>
      </c>
      <c r="N51" s="40">
        <f>(+J51+M51)/2*12.5/100</f>
        <v>0</v>
      </c>
      <c r="O51" s="13">
        <f>+N51</f>
        <v>0</v>
      </c>
      <c r="P51" s="13">
        <v>0</v>
      </c>
      <c r="Q51" s="13">
        <v>0</v>
      </c>
      <c r="R51" s="7"/>
    </row>
    <row r="52" spans="1:18" ht="12.75">
      <c r="A52" s="7"/>
      <c r="B52" s="64"/>
      <c r="C52" s="7" t="s">
        <v>405</v>
      </c>
      <c r="D52" s="7"/>
      <c r="E52" s="7"/>
      <c r="F52" s="7"/>
      <c r="G52" s="7"/>
      <c r="H52" s="7"/>
      <c r="I52" s="7"/>
      <c r="J52" s="40">
        <v>0</v>
      </c>
      <c r="K52" s="13"/>
      <c r="L52" s="13"/>
      <c r="M52" s="13">
        <f>+J52+K52-L52</f>
        <v>0</v>
      </c>
      <c r="N52" s="40">
        <f>(+J52+M52)/2*12.5/100</f>
        <v>0</v>
      </c>
      <c r="O52" s="13">
        <f>+N52</f>
        <v>0</v>
      </c>
      <c r="P52" s="13">
        <v>0</v>
      </c>
      <c r="Q52" s="13">
        <v>0</v>
      </c>
      <c r="R52" s="7"/>
    </row>
    <row r="53" spans="1:18" ht="12.75">
      <c r="A53" s="93"/>
      <c r="B53" s="94"/>
      <c r="C53" s="93"/>
      <c r="D53" s="93"/>
      <c r="E53" s="93"/>
      <c r="F53" s="93"/>
      <c r="G53" s="93"/>
      <c r="H53" s="93"/>
      <c r="I53" s="93"/>
      <c r="J53" s="31">
        <v>0</v>
      </c>
      <c r="K53" s="31">
        <f aca="true" t="shared" si="7" ref="K53:Q53">+K49+K50+K51</f>
        <v>0</v>
      </c>
      <c r="L53" s="31">
        <f t="shared" si="7"/>
        <v>0</v>
      </c>
      <c r="M53" s="31">
        <f t="shared" si="7"/>
        <v>0</v>
      </c>
      <c r="N53" s="31">
        <f t="shared" si="7"/>
        <v>0</v>
      </c>
      <c r="O53" s="31">
        <f t="shared" si="7"/>
        <v>0</v>
      </c>
      <c r="P53" s="31">
        <f t="shared" si="7"/>
        <v>0</v>
      </c>
      <c r="Q53" s="31">
        <f t="shared" si="7"/>
        <v>0</v>
      </c>
      <c r="R53" s="93"/>
    </row>
    <row r="54" spans="1:18" ht="12.75">
      <c r="A54" s="22" t="s">
        <v>282</v>
      </c>
      <c r="B54" s="64"/>
      <c r="C54" s="7"/>
      <c r="D54" s="7"/>
      <c r="E54" s="7"/>
      <c r="F54" s="7"/>
      <c r="G54" s="7"/>
      <c r="H54" s="7"/>
      <c r="I54" s="7"/>
      <c r="J54" s="8"/>
      <c r="K54" s="8"/>
      <c r="L54" s="8"/>
      <c r="M54" s="8"/>
      <c r="N54" s="8"/>
      <c r="O54" s="8"/>
      <c r="P54" s="8"/>
      <c r="Q54" s="8"/>
      <c r="R54" s="7"/>
    </row>
    <row r="55" spans="1:18" ht="12.75">
      <c r="A55" s="7"/>
      <c r="B55" s="64"/>
      <c r="C55" s="7"/>
      <c r="D55" s="7"/>
      <c r="E55" s="7"/>
      <c r="F55" s="7"/>
      <c r="G55" s="7"/>
      <c r="H55" s="7"/>
      <c r="I55" s="7"/>
      <c r="J55" s="13">
        <v>0</v>
      </c>
      <c r="K55" s="7"/>
      <c r="L55" s="7"/>
      <c r="M55" s="13">
        <f>+J55+K55-L55</f>
        <v>0</v>
      </c>
      <c r="N55" s="40">
        <f>(+J55+M55)/2*12.5/100</f>
        <v>0</v>
      </c>
      <c r="O55" s="13">
        <f>+N55</f>
        <v>0</v>
      </c>
      <c r="P55" s="13">
        <v>0</v>
      </c>
      <c r="Q55" s="13">
        <v>0</v>
      </c>
      <c r="R55" s="7"/>
    </row>
    <row r="56" spans="1:18" ht="12.75">
      <c r="A56" s="7"/>
      <c r="B56" s="64"/>
      <c r="C56" s="7"/>
      <c r="D56" s="7"/>
      <c r="E56" s="7"/>
      <c r="F56" s="7"/>
      <c r="G56" s="7"/>
      <c r="H56" s="7"/>
      <c r="I56" s="7"/>
      <c r="J56" s="13">
        <v>0</v>
      </c>
      <c r="K56" s="7"/>
      <c r="L56" s="7"/>
      <c r="M56" s="13">
        <f>+J56+K56-L56</f>
        <v>0</v>
      </c>
      <c r="N56" s="40">
        <f>(+J56+M56)/2*12.5/100</f>
        <v>0</v>
      </c>
      <c r="O56" s="13">
        <f>+N56</f>
        <v>0</v>
      </c>
      <c r="P56" s="13">
        <v>0</v>
      </c>
      <c r="Q56" s="13">
        <v>0</v>
      </c>
      <c r="R56" s="7"/>
    </row>
    <row r="57" spans="1:18" ht="12.75">
      <c r="A57" s="93"/>
      <c r="B57" s="94"/>
      <c r="C57" s="93"/>
      <c r="D57" s="93"/>
      <c r="E57" s="93"/>
      <c r="F57" s="93"/>
      <c r="G57" s="93"/>
      <c r="H57" s="93"/>
      <c r="I57" s="93"/>
      <c r="J57" s="31">
        <v>0</v>
      </c>
      <c r="K57" s="31">
        <f aca="true" t="shared" si="8" ref="K57:Q57">+K55+K56</f>
        <v>0</v>
      </c>
      <c r="L57" s="31">
        <f t="shared" si="8"/>
        <v>0</v>
      </c>
      <c r="M57" s="31">
        <f t="shared" si="8"/>
        <v>0</v>
      </c>
      <c r="N57" s="31">
        <f t="shared" si="8"/>
        <v>0</v>
      </c>
      <c r="O57" s="31">
        <f t="shared" si="8"/>
        <v>0</v>
      </c>
      <c r="P57" s="31">
        <f t="shared" si="8"/>
        <v>0</v>
      </c>
      <c r="Q57" s="31">
        <f t="shared" si="8"/>
        <v>0</v>
      </c>
      <c r="R57" s="93"/>
    </row>
    <row r="58" spans="1:18" ht="12.75">
      <c r="A58" s="22" t="s">
        <v>283</v>
      </c>
      <c r="B58" s="64"/>
      <c r="C58" s="7"/>
      <c r="D58" s="7"/>
      <c r="E58" s="7"/>
      <c r="F58" s="7"/>
      <c r="G58" s="7"/>
      <c r="H58" s="7"/>
      <c r="I58" s="7"/>
      <c r="J58" s="8"/>
      <c r="K58" s="8"/>
      <c r="L58" s="8"/>
      <c r="M58" s="8"/>
      <c r="N58" s="8"/>
      <c r="O58" s="8"/>
      <c r="P58" s="8"/>
      <c r="Q58" s="8"/>
      <c r="R58" s="7"/>
    </row>
    <row r="59" spans="1:18" ht="12.75">
      <c r="A59" s="7"/>
      <c r="B59" s="92">
        <v>54.2</v>
      </c>
      <c r="C59" s="7" t="s">
        <v>321</v>
      </c>
      <c r="D59" s="7"/>
      <c r="E59" s="7"/>
      <c r="F59" s="7"/>
      <c r="G59" s="7"/>
      <c r="H59" s="7"/>
      <c r="I59" s="7"/>
      <c r="J59" s="13">
        <v>272.37999999999994</v>
      </c>
      <c r="K59" s="294"/>
      <c r="L59" s="294"/>
      <c r="M59" s="294">
        <f>+J59+K59-L59</f>
        <v>272.37999999999994</v>
      </c>
      <c r="N59" s="84"/>
      <c r="O59" s="294">
        <f>+N59</f>
        <v>0</v>
      </c>
      <c r="P59" s="13">
        <v>0</v>
      </c>
      <c r="Q59" s="13">
        <v>0</v>
      </c>
      <c r="R59" s="7"/>
    </row>
    <row r="60" spans="1:18" ht="12.75">
      <c r="A60" s="7"/>
      <c r="B60" s="64"/>
      <c r="C60" s="33" t="s">
        <v>492</v>
      </c>
      <c r="D60" s="7"/>
      <c r="E60" s="7"/>
      <c r="F60" s="7"/>
      <c r="G60" s="7"/>
      <c r="H60" s="7"/>
      <c r="I60" s="7"/>
      <c r="J60" s="13"/>
      <c r="K60" s="7">
        <v>50</v>
      </c>
      <c r="L60" s="7"/>
      <c r="M60" s="13">
        <f>+J60+K60-L60</f>
        <v>50</v>
      </c>
      <c r="N60" s="40">
        <f>(+J60+M60)/2*10/100</f>
        <v>2.5</v>
      </c>
      <c r="O60" s="13">
        <f>+N60</f>
        <v>2.5</v>
      </c>
      <c r="P60" s="13">
        <v>0</v>
      </c>
      <c r="Q60" s="13">
        <v>0</v>
      </c>
      <c r="R60" s="7"/>
    </row>
    <row r="61" spans="1:18" ht="12.75">
      <c r="A61" s="7"/>
      <c r="B61" s="64"/>
      <c r="C61" s="33" t="s">
        <v>493</v>
      </c>
      <c r="D61" s="7"/>
      <c r="E61" s="7"/>
      <c r="F61" s="7"/>
      <c r="G61" s="7"/>
      <c r="H61" s="7"/>
      <c r="I61" s="7"/>
      <c r="J61" s="13"/>
      <c r="K61" s="7">
        <v>75.36</v>
      </c>
      <c r="L61" s="7"/>
      <c r="M61" s="13">
        <f>+J61+K61-L61</f>
        <v>75.36</v>
      </c>
      <c r="N61" s="40">
        <f>(+J61+M61)/2*10/100</f>
        <v>3.7680000000000002</v>
      </c>
      <c r="O61" s="13">
        <f>+N61</f>
        <v>3.7680000000000002</v>
      </c>
      <c r="P61" s="13">
        <v>0</v>
      </c>
      <c r="Q61" s="13">
        <v>0</v>
      </c>
      <c r="R61" s="7"/>
    </row>
    <row r="62" spans="1:18" ht="12.75">
      <c r="A62" s="7"/>
      <c r="B62" s="64"/>
      <c r="C62" s="33" t="s">
        <v>494</v>
      </c>
      <c r="D62" s="7"/>
      <c r="E62" s="7"/>
      <c r="F62" s="7"/>
      <c r="G62" s="7"/>
      <c r="H62" s="7"/>
      <c r="I62" s="7"/>
      <c r="J62" s="13"/>
      <c r="K62" s="7">
        <v>327.96</v>
      </c>
      <c r="L62" s="7"/>
      <c r="M62" s="13">
        <f>+J62+K62-L62</f>
        <v>327.96</v>
      </c>
      <c r="N62" s="40">
        <f>(+J62+M62)/2*10/100</f>
        <v>16.398</v>
      </c>
      <c r="O62" s="13">
        <f>+N62</f>
        <v>16.398</v>
      </c>
      <c r="P62" s="13">
        <v>0</v>
      </c>
      <c r="Q62" s="13">
        <v>0</v>
      </c>
      <c r="R62" s="7"/>
    </row>
    <row r="63" spans="1:18" ht="12.75">
      <c r="A63" s="93"/>
      <c r="B63" s="94"/>
      <c r="C63" s="93"/>
      <c r="D63" s="93"/>
      <c r="E63" s="93"/>
      <c r="F63" s="93"/>
      <c r="G63" s="93"/>
      <c r="H63" s="93"/>
      <c r="I63" s="93"/>
      <c r="J63" s="31">
        <v>272.37999999999994</v>
      </c>
      <c r="K63" s="31">
        <f>SUM(K59:K62)</f>
        <v>453.32</v>
      </c>
      <c r="L63" s="31">
        <f>SUM(L59:L62)</f>
        <v>0</v>
      </c>
      <c r="M63" s="31">
        <f>SUM(M59:M62)</f>
        <v>725.6999999999999</v>
      </c>
      <c r="N63" s="31">
        <f>SUM(N59:N62)</f>
        <v>22.666</v>
      </c>
      <c r="O63" s="31">
        <f>SUM(O59:O62)</f>
        <v>22.666</v>
      </c>
      <c r="P63" s="31">
        <f>+P59+P62</f>
        <v>0</v>
      </c>
      <c r="Q63" s="31">
        <f>+Q59+Q62</f>
        <v>0</v>
      </c>
      <c r="R63" s="93"/>
    </row>
    <row r="64" spans="1:18" ht="12.75">
      <c r="A64" s="22" t="s">
        <v>284</v>
      </c>
      <c r="B64" s="64"/>
      <c r="C64" s="7"/>
      <c r="D64" s="7"/>
      <c r="E64" s="7"/>
      <c r="F64" s="7"/>
      <c r="G64" s="7"/>
      <c r="H64" s="7"/>
      <c r="I64" s="7"/>
      <c r="J64" s="7"/>
      <c r="K64" s="7"/>
      <c r="L64" s="7"/>
      <c r="M64" s="7"/>
      <c r="N64" s="7"/>
      <c r="O64" s="7"/>
      <c r="P64" s="7"/>
      <c r="Q64" s="7"/>
      <c r="R64" s="7"/>
    </row>
    <row r="65" spans="1:18" ht="12.75">
      <c r="A65" s="7"/>
      <c r="B65" s="92">
        <v>52.501</v>
      </c>
      <c r="C65" s="7" t="s">
        <v>308</v>
      </c>
      <c r="D65" s="7"/>
      <c r="E65" s="7"/>
      <c r="F65" s="7"/>
      <c r="G65" s="7"/>
      <c r="H65" s="7"/>
      <c r="I65" s="7"/>
      <c r="J65" s="13">
        <v>0</v>
      </c>
      <c r="K65" s="7"/>
      <c r="L65" s="7"/>
      <c r="M65" s="13">
        <f>+J65+K65-L65</f>
        <v>0</v>
      </c>
      <c r="N65" s="40">
        <f>(+J65+M65)/2*12.5/100</f>
        <v>0</v>
      </c>
      <c r="O65" s="13">
        <f>+N65</f>
        <v>0</v>
      </c>
      <c r="P65" s="13">
        <v>0</v>
      </c>
      <c r="Q65" s="13">
        <v>0</v>
      </c>
      <c r="R65" s="7"/>
    </row>
    <row r="66" spans="1:18" ht="12.75">
      <c r="A66" s="7"/>
      <c r="B66" s="92">
        <v>53.61</v>
      </c>
      <c r="C66" s="7" t="s">
        <v>309</v>
      </c>
      <c r="D66" s="7"/>
      <c r="E66" s="7"/>
      <c r="F66" s="7"/>
      <c r="G66" s="7"/>
      <c r="H66" s="7"/>
      <c r="I66" s="7"/>
      <c r="J66" s="13">
        <v>0</v>
      </c>
      <c r="K66" s="7"/>
      <c r="L66" s="7"/>
      <c r="M66" s="13">
        <f>+J66+K66-L66</f>
        <v>0</v>
      </c>
      <c r="N66" s="40">
        <f>(+J66+M66)/2*12.5/100</f>
        <v>0</v>
      </c>
      <c r="O66" s="13">
        <f>+N66</f>
        <v>0</v>
      </c>
      <c r="P66" s="13">
        <v>0</v>
      </c>
      <c r="Q66" s="13">
        <v>0</v>
      </c>
      <c r="R66" s="7"/>
    </row>
    <row r="67" spans="1:18" ht="12.75">
      <c r="A67" s="7"/>
      <c r="B67" s="92"/>
      <c r="C67" s="7" t="s">
        <v>409</v>
      </c>
      <c r="D67" s="7"/>
      <c r="E67" s="7"/>
      <c r="F67" s="7"/>
      <c r="G67" s="7"/>
      <c r="H67" s="7"/>
      <c r="I67" s="7"/>
      <c r="J67" s="13"/>
      <c r="K67" s="7"/>
      <c r="L67" s="7"/>
      <c r="M67" s="13">
        <f>+J67+K67-L67</f>
        <v>0</v>
      </c>
      <c r="N67" s="40">
        <f>(+J67+M67)/2*12.5/100</f>
        <v>0</v>
      </c>
      <c r="O67" s="13">
        <f>+N67</f>
        <v>0</v>
      </c>
      <c r="P67" s="13">
        <v>0</v>
      </c>
      <c r="Q67" s="13">
        <v>0</v>
      </c>
      <c r="R67" s="7"/>
    </row>
    <row r="68" spans="1:18" ht="12.75">
      <c r="A68" s="93"/>
      <c r="B68" s="94"/>
      <c r="C68" s="93"/>
      <c r="D68" s="93"/>
      <c r="E68" s="93"/>
      <c r="F68" s="93"/>
      <c r="G68" s="93"/>
      <c r="H68" s="93"/>
      <c r="I68" s="93"/>
      <c r="J68" s="31">
        <v>0</v>
      </c>
      <c r="K68" s="31">
        <f aca="true" t="shared" si="9" ref="K68:Q68">SUM(K65:K67)</f>
        <v>0</v>
      </c>
      <c r="L68" s="31">
        <f t="shared" si="9"/>
        <v>0</v>
      </c>
      <c r="M68" s="31">
        <f t="shared" si="9"/>
        <v>0</v>
      </c>
      <c r="N68" s="31">
        <f t="shared" si="9"/>
        <v>0</v>
      </c>
      <c r="O68" s="31">
        <f t="shared" si="9"/>
        <v>0</v>
      </c>
      <c r="P68" s="31">
        <f t="shared" si="9"/>
        <v>0</v>
      </c>
      <c r="Q68" s="31">
        <f t="shared" si="9"/>
        <v>0</v>
      </c>
      <c r="R68" s="93"/>
    </row>
    <row r="69" spans="1:18" ht="12.75">
      <c r="A69" s="30"/>
      <c r="B69" s="95"/>
      <c r="C69" s="30"/>
      <c r="D69" s="30"/>
      <c r="E69" s="30"/>
      <c r="F69" s="30"/>
      <c r="G69" s="30"/>
      <c r="H69" s="30"/>
      <c r="I69" s="30"/>
      <c r="J69" s="31">
        <v>272.37999999999994</v>
      </c>
      <c r="K69" s="31">
        <f aca="true" t="shared" si="10" ref="K69:Q69">+K53+K57+K63+K68</f>
        <v>453.32</v>
      </c>
      <c r="L69" s="31">
        <f t="shared" si="10"/>
        <v>0</v>
      </c>
      <c r="M69" s="31">
        <f t="shared" si="10"/>
        <v>725.6999999999999</v>
      </c>
      <c r="N69" s="31">
        <f t="shared" si="10"/>
        <v>22.666</v>
      </c>
      <c r="O69" s="31">
        <f t="shared" si="10"/>
        <v>22.666</v>
      </c>
      <c r="P69" s="31">
        <f t="shared" si="10"/>
        <v>0</v>
      </c>
      <c r="Q69" s="31">
        <f t="shared" si="10"/>
        <v>0</v>
      </c>
      <c r="R69" s="30"/>
    </row>
    <row r="70" spans="1:18" ht="12.75">
      <c r="A70" s="30"/>
      <c r="B70" s="95"/>
      <c r="C70" s="30"/>
      <c r="D70" s="30"/>
      <c r="E70" s="30"/>
      <c r="F70" s="30"/>
      <c r="G70" s="30"/>
      <c r="H70" s="30"/>
      <c r="I70" s="30"/>
      <c r="J70" s="31">
        <v>4932.598999999998</v>
      </c>
      <c r="K70" s="31">
        <f aca="true" t="shared" si="11" ref="K70:Q70">+K46+K69</f>
        <v>1132.3000000000002</v>
      </c>
      <c r="L70" s="31">
        <f t="shared" si="11"/>
        <v>466.02</v>
      </c>
      <c r="M70" s="31">
        <f t="shared" si="11"/>
        <v>5598.878999999999</v>
      </c>
      <c r="N70" s="31">
        <f t="shared" si="11"/>
        <v>500.44599999999997</v>
      </c>
      <c r="O70" s="31">
        <f t="shared" si="11"/>
        <v>500.44599999999997</v>
      </c>
      <c r="P70" s="31">
        <f t="shared" si="11"/>
        <v>0</v>
      </c>
      <c r="Q70" s="31">
        <f t="shared" si="11"/>
        <v>0</v>
      </c>
      <c r="R70" s="31"/>
    </row>
    <row r="71" spans="10:13" ht="12.75">
      <c r="J71" s="15" t="s">
        <v>516</v>
      </c>
      <c r="M71">
        <v>810.14</v>
      </c>
    </row>
    <row r="72" spans="10:14" ht="12.75">
      <c r="J72" s="15" t="s">
        <v>517</v>
      </c>
      <c r="L72" s="20">
        <f>+K70-L70</f>
        <v>666.2800000000002</v>
      </c>
      <c r="M72" s="20">
        <f>M70-M71-M74</f>
        <v>4788.738999999999</v>
      </c>
      <c r="N72" s="20"/>
    </row>
    <row r="73" spans="10:14" ht="12.75">
      <c r="J73" s="10" t="s">
        <v>410</v>
      </c>
      <c r="K73" s="10"/>
      <c r="L73" s="10"/>
      <c r="M73" s="10"/>
      <c r="N73" s="10"/>
    </row>
    <row r="74" spans="1:18" ht="12.75">
      <c r="A74" s="316" t="s">
        <v>476</v>
      </c>
      <c r="B74" s="90"/>
      <c r="C74" s="10"/>
      <c r="D74" s="9"/>
      <c r="E74" s="10"/>
      <c r="F74" s="10"/>
      <c r="G74" s="10"/>
      <c r="H74" s="10"/>
      <c r="I74" s="91"/>
      <c r="J74" s="10"/>
      <c r="K74" s="10"/>
      <c r="L74" s="10"/>
      <c r="M74" s="10"/>
      <c r="N74" s="10"/>
      <c r="O74" s="10"/>
      <c r="P74" s="10"/>
      <c r="Q74" s="62" t="s">
        <v>251</v>
      </c>
      <c r="R74" s="10"/>
    </row>
    <row r="75" spans="1:18" ht="56.25">
      <c r="A75" s="270" t="s">
        <v>252</v>
      </c>
      <c r="B75" s="270" t="s">
        <v>278</v>
      </c>
      <c r="C75" s="270" t="s">
        <v>311</v>
      </c>
      <c r="D75" s="270" t="s">
        <v>279</v>
      </c>
      <c r="E75" s="270" t="s">
        <v>255</v>
      </c>
      <c r="F75" s="270" t="s">
        <v>280</v>
      </c>
      <c r="G75" s="270" t="s">
        <v>261</v>
      </c>
      <c r="H75" s="270" t="s">
        <v>310</v>
      </c>
      <c r="I75" s="271" t="s">
        <v>262</v>
      </c>
      <c r="J75" s="270" t="s">
        <v>263</v>
      </c>
      <c r="K75" s="270" t="s">
        <v>264</v>
      </c>
      <c r="L75" s="270" t="s">
        <v>265</v>
      </c>
      <c r="M75" s="270" t="s">
        <v>266</v>
      </c>
      <c r="N75" s="270" t="s">
        <v>267</v>
      </c>
      <c r="O75" s="270" t="s">
        <v>268</v>
      </c>
      <c r="P75" s="270" t="s">
        <v>269</v>
      </c>
      <c r="Q75" s="270" t="s">
        <v>270</v>
      </c>
      <c r="R75" s="270" t="s">
        <v>107</v>
      </c>
    </row>
    <row r="76" spans="1:18" ht="15.75">
      <c r="A76" s="102" t="s">
        <v>288</v>
      </c>
      <c r="B76" s="64"/>
      <c r="C76" s="7"/>
      <c r="D76" s="7"/>
      <c r="E76" s="7"/>
      <c r="F76" s="7"/>
      <c r="G76" s="7"/>
      <c r="H76" s="7"/>
      <c r="I76" s="7"/>
      <c r="J76" s="8"/>
      <c r="K76" s="8"/>
      <c r="L76" s="8"/>
      <c r="M76" s="8"/>
      <c r="N76" s="8"/>
      <c r="O76" s="8"/>
      <c r="P76" s="8"/>
      <c r="Q76" s="8"/>
      <c r="R76" s="7"/>
    </row>
    <row r="77" spans="1:18" ht="12.75">
      <c r="A77" s="22" t="s">
        <v>281</v>
      </c>
      <c r="B77" s="64"/>
      <c r="C77" s="7"/>
      <c r="D77" s="7"/>
      <c r="E77" s="7"/>
      <c r="F77" s="7"/>
      <c r="G77" s="7"/>
      <c r="H77" s="7"/>
      <c r="I77" s="7"/>
      <c r="J77" s="8"/>
      <c r="K77" s="8"/>
      <c r="L77" s="8"/>
      <c r="M77" s="8"/>
      <c r="N77" s="8"/>
      <c r="O77" s="8"/>
      <c r="P77" s="8"/>
      <c r="Q77" s="8"/>
      <c r="R77" s="7"/>
    </row>
    <row r="78" spans="1:18" ht="12.75">
      <c r="A78" s="7"/>
      <c r="B78" s="64"/>
      <c r="C78" s="7"/>
      <c r="D78" s="7"/>
      <c r="E78" s="7"/>
      <c r="F78" s="7"/>
      <c r="G78" s="7"/>
      <c r="H78" s="7"/>
      <c r="I78" s="7"/>
      <c r="J78" s="13">
        <f>+M7</f>
        <v>0</v>
      </c>
      <c r="K78" s="7"/>
      <c r="L78" s="7"/>
      <c r="M78" s="13">
        <f>+J78+K78-L78</f>
        <v>0</v>
      </c>
      <c r="N78" s="40">
        <f>(+J78+M78)/2*12.5/100</f>
        <v>0</v>
      </c>
      <c r="O78" s="13">
        <f>+N78</f>
        <v>0</v>
      </c>
      <c r="P78" s="13">
        <v>0</v>
      </c>
      <c r="Q78" s="13">
        <v>0</v>
      </c>
      <c r="R78" s="7"/>
    </row>
    <row r="79" spans="1:18" ht="12.75">
      <c r="A79" s="7"/>
      <c r="B79" s="64"/>
      <c r="C79" s="7"/>
      <c r="D79" s="7"/>
      <c r="E79" s="7"/>
      <c r="F79" s="7"/>
      <c r="G79" s="7"/>
      <c r="H79" s="7"/>
      <c r="I79" s="7"/>
      <c r="J79" s="13">
        <f>+M8</f>
        <v>0</v>
      </c>
      <c r="K79" s="7"/>
      <c r="L79" s="7"/>
      <c r="M79" s="13">
        <f>+J79+K79-L79</f>
        <v>0</v>
      </c>
      <c r="N79" s="40">
        <f>(+J79+M79)/2*12.5/100</f>
        <v>0</v>
      </c>
      <c r="O79" s="13">
        <f>+N79</f>
        <v>0</v>
      </c>
      <c r="P79" s="13">
        <v>0</v>
      </c>
      <c r="Q79" s="13">
        <v>0</v>
      </c>
      <c r="R79" s="7"/>
    </row>
    <row r="80" spans="1:18" ht="12.75">
      <c r="A80" s="93"/>
      <c r="B80" s="94"/>
      <c r="C80" s="93"/>
      <c r="D80" s="93"/>
      <c r="E80" s="93"/>
      <c r="F80" s="93"/>
      <c r="G80" s="93"/>
      <c r="H80" s="93"/>
      <c r="I80" s="93"/>
      <c r="J80" s="31">
        <f aca="true" t="shared" si="12" ref="J80:Q80">+J78+J79</f>
        <v>0</v>
      </c>
      <c r="K80" s="31">
        <f t="shared" si="12"/>
        <v>0</v>
      </c>
      <c r="L80" s="31">
        <f t="shared" si="12"/>
        <v>0</v>
      </c>
      <c r="M80" s="31">
        <f t="shared" si="12"/>
        <v>0</v>
      </c>
      <c r="N80" s="31">
        <f t="shared" si="12"/>
        <v>0</v>
      </c>
      <c r="O80" s="31">
        <f t="shared" si="12"/>
        <v>0</v>
      </c>
      <c r="P80" s="31">
        <f t="shared" si="12"/>
        <v>0</v>
      </c>
      <c r="Q80" s="31">
        <f t="shared" si="12"/>
        <v>0</v>
      </c>
      <c r="R80" s="93"/>
    </row>
    <row r="81" spans="1:18" ht="12.75">
      <c r="A81" s="22" t="s">
        <v>282</v>
      </c>
      <c r="B81" s="64"/>
      <c r="C81" s="7"/>
      <c r="D81" s="7"/>
      <c r="E81" s="7"/>
      <c r="F81" s="7"/>
      <c r="G81" s="7"/>
      <c r="H81" s="7"/>
      <c r="I81" s="7"/>
      <c r="J81" s="8"/>
      <c r="K81" s="8"/>
      <c r="L81" s="8"/>
      <c r="M81" s="8"/>
      <c r="N81" s="8"/>
      <c r="O81" s="8"/>
      <c r="P81" s="8"/>
      <c r="Q81" s="8"/>
      <c r="R81" s="7"/>
    </row>
    <row r="82" spans="1:18" ht="12.75">
      <c r="A82" s="7"/>
      <c r="B82" s="64"/>
      <c r="C82" s="7"/>
      <c r="D82" s="7"/>
      <c r="E82" s="7"/>
      <c r="F82" s="7"/>
      <c r="G82" s="7"/>
      <c r="H82" s="7"/>
      <c r="I82" s="7"/>
      <c r="J82" s="13">
        <f>+M11</f>
        <v>0</v>
      </c>
      <c r="K82" s="7"/>
      <c r="L82" s="7"/>
      <c r="M82" s="13">
        <f>+J82+K82-L82</f>
        <v>0</v>
      </c>
      <c r="N82" s="40">
        <f>(+J82+M82)/2*12.5/100</f>
        <v>0</v>
      </c>
      <c r="O82" s="13">
        <f>+N82</f>
        <v>0</v>
      </c>
      <c r="P82" s="13">
        <v>0</v>
      </c>
      <c r="Q82" s="13">
        <v>0</v>
      </c>
      <c r="R82" s="7"/>
    </row>
    <row r="83" spans="1:18" ht="12.75">
      <c r="A83" s="7"/>
      <c r="B83" s="64"/>
      <c r="C83" s="7"/>
      <c r="D83" s="7"/>
      <c r="E83" s="7"/>
      <c r="F83" s="7"/>
      <c r="G83" s="7"/>
      <c r="H83" s="7"/>
      <c r="I83" s="7"/>
      <c r="J83" s="13">
        <f>+M12</f>
        <v>0</v>
      </c>
      <c r="K83" s="7"/>
      <c r="L83" s="7"/>
      <c r="M83" s="13">
        <f>+J83+K83-L83</f>
        <v>0</v>
      </c>
      <c r="N83" s="40">
        <f>(+J83+M83)/2*12.5/100</f>
        <v>0</v>
      </c>
      <c r="O83" s="13">
        <f>+N83</f>
        <v>0</v>
      </c>
      <c r="P83" s="13">
        <v>0</v>
      </c>
      <c r="Q83" s="13">
        <v>0</v>
      </c>
      <c r="R83" s="7"/>
    </row>
    <row r="84" spans="1:18" ht="12.75">
      <c r="A84" s="93"/>
      <c r="B84" s="94"/>
      <c r="C84" s="93"/>
      <c r="D84" s="93"/>
      <c r="E84" s="93"/>
      <c r="F84" s="93"/>
      <c r="G84" s="93"/>
      <c r="H84" s="93"/>
      <c r="I84" s="93"/>
      <c r="J84" s="31">
        <f aca="true" t="shared" si="13" ref="J84:Q84">+J82+J83</f>
        <v>0</v>
      </c>
      <c r="K84" s="31">
        <f t="shared" si="13"/>
        <v>0</v>
      </c>
      <c r="L84" s="31">
        <f t="shared" si="13"/>
        <v>0</v>
      </c>
      <c r="M84" s="31">
        <f t="shared" si="13"/>
        <v>0</v>
      </c>
      <c r="N84" s="31">
        <f t="shared" si="13"/>
        <v>0</v>
      </c>
      <c r="O84" s="31">
        <f t="shared" si="13"/>
        <v>0</v>
      </c>
      <c r="P84" s="31">
        <f t="shared" si="13"/>
        <v>0</v>
      </c>
      <c r="Q84" s="31">
        <f t="shared" si="13"/>
        <v>0</v>
      </c>
      <c r="R84" s="93"/>
    </row>
    <row r="85" spans="1:18" ht="12.75">
      <c r="A85" s="22" t="s">
        <v>283</v>
      </c>
      <c r="B85" s="64"/>
      <c r="C85" s="7"/>
      <c r="D85" s="7"/>
      <c r="E85" s="7"/>
      <c r="F85" s="7"/>
      <c r="G85" s="7"/>
      <c r="H85" s="7"/>
      <c r="I85" s="7"/>
      <c r="J85" s="8"/>
      <c r="K85" s="8"/>
      <c r="L85" s="8"/>
      <c r="M85" s="8"/>
      <c r="N85" s="8"/>
      <c r="O85" s="8"/>
      <c r="P85" s="8"/>
      <c r="Q85" s="8"/>
      <c r="R85" s="7"/>
    </row>
    <row r="86" spans="1:18" ht="12.75">
      <c r="A86" s="7"/>
      <c r="B86" s="64"/>
      <c r="C86" s="7"/>
      <c r="D86" s="7"/>
      <c r="E86" s="7"/>
      <c r="F86" s="7"/>
      <c r="G86" s="7"/>
      <c r="H86" s="7"/>
      <c r="I86" s="7"/>
      <c r="J86" s="13">
        <f>+M15</f>
        <v>0</v>
      </c>
      <c r="K86" s="7"/>
      <c r="L86" s="7"/>
      <c r="M86" s="13">
        <f>+J86+K86-L86</f>
        <v>0</v>
      </c>
      <c r="N86" s="40">
        <f>(+J86+M86)/2*12.5/100</f>
        <v>0</v>
      </c>
      <c r="O86" s="13">
        <f>+N86</f>
        <v>0</v>
      </c>
      <c r="P86" s="13">
        <v>0</v>
      </c>
      <c r="Q86" s="13">
        <v>0</v>
      </c>
      <c r="R86" s="7"/>
    </row>
    <row r="87" spans="1:18" ht="12.75">
      <c r="A87" s="7"/>
      <c r="B87" s="64"/>
      <c r="C87" s="7"/>
      <c r="D87" s="7"/>
      <c r="E87" s="7"/>
      <c r="F87" s="7"/>
      <c r="G87" s="7"/>
      <c r="H87" s="7"/>
      <c r="I87" s="7"/>
      <c r="J87" s="13">
        <f>+M16</f>
        <v>0</v>
      </c>
      <c r="K87" s="7"/>
      <c r="L87" s="7"/>
      <c r="M87" s="13">
        <f>+J87+K87-L87</f>
        <v>0</v>
      </c>
      <c r="N87" s="40">
        <f>(+J87+M87)/2*12.5/100</f>
        <v>0</v>
      </c>
      <c r="O87" s="13">
        <f>+N87</f>
        <v>0</v>
      </c>
      <c r="P87" s="13">
        <v>0</v>
      </c>
      <c r="Q87" s="13">
        <v>0</v>
      </c>
      <c r="R87" s="7"/>
    </row>
    <row r="88" spans="1:18" ht="12.75">
      <c r="A88" s="93"/>
      <c r="B88" s="94"/>
      <c r="C88" s="93"/>
      <c r="D88" s="93"/>
      <c r="E88" s="93"/>
      <c r="F88" s="93"/>
      <c r="G88" s="93"/>
      <c r="H88" s="93"/>
      <c r="I88" s="93"/>
      <c r="J88" s="31">
        <f aca="true" t="shared" si="14" ref="J88:Q88">+J86+J87</f>
        <v>0</v>
      </c>
      <c r="K88" s="31">
        <f t="shared" si="14"/>
        <v>0</v>
      </c>
      <c r="L88" s="31">
        <f t="shared" si="14"/>
        <v>0</v>
      </c>
      <c r="M88" s="31">
        <f t="shared" si="14"/>
        <v>0</v>
      </c>
      <c r="N88" s="31">
        <f t="shared" si="14"/>
        <v>0</v>
      </c>
      <c r="O88" s="31">
        <f t="shared" si="14"/>
        <v>0</v>
      </c>
      <c r="P88" s="31">
        <f t="shared" si="14"/>
        <v>0</v>
      </c>
      <c r="Q88" s="31">
        <f t="shared" si="14"/>
        <v>0</v>
      </c>
      <c r="R88" s="93"/>
    </row>
    <row r="89" spans="1:18" ht="12.75">
      <c r="A89" s="22" t="s">
        <v>284</v>
      </c>
      <c r="B89" s="64"/>
      <c r="C89" s="7"/>
      <c r="D89" s="7"/>
      <c r="E89" s="7"/>
      <c r="F89" s="7"/>
      <c r="G89" s="7"/>
      <c r="H89" s="7"/>
      <c r="I89" s="7"/>
      <c r="J89" s="7"/>
      <c r="K89" s="7"/>
      <c r="L89" s="7"/>
      <c r="M89" s="7"/>
      <c r="N89" s="7"/>
      <c r="O89" s="7"/>
      <c r="P89" s="7"/>
      <c r="Q89" s="7"/>
      <c r="R89" s="7"/>
    </row>
    <row r="90" spans="1:18" ht="12.75">
      <c r="A90" s="7"/>
      <c r="B90" s="92">
        <v>53.301</v>
      </c>
      <c r="C90" s="7" t="s">
        <v>285</v>
      </c>
      <c r="D90" s="7"/>
      <c r="E90" s="7"/>
      <c r="F90" s="7"/>
      <c r="G90" s="7"/>
      <c r="H90" s="7"/>
      <c r="I90" s="7"/>
      <c r="J90" s="13">
        <f aca="true" t="shared" si="15" ref="J90:J115">+M19</f>
        <v>3809.46</v>
      </c>
      <c r="K90" s="294">
        <v>677.18</v>
      </c>
      <c r="L90" s="7">
        <v>416.67</v>
      </c>
      <c r="M90" s="13">
        <f aca="true" t="shared" si="16" ref="M90:M114">+J90+K90-L90</f>
        <v>4069.9700000000003</v>
      </c>
      <c r="N90" s="40">
        <f>(+J90+M90)/2*11/100</f>
        <v>433.36865000000006</v>
      </c>
      <c r="O90" s="13">
        <f aca="true" t="shared" si="17" ref="O90:O115">+N90</f>
        <v>433.36865000000006</v>
      </c>
      <c r="P90" s="13">
        <v>0</v>
      </c>
      <c r="Q90" s="13">
        <v>0</v>
      </c>
      <c r="R90" s="7"/>
    </row>
    <row r="91" spans="1:18" ht="12.75">
      <c r="A91" s="7"/>
      <c r="B91" s="92">
        <v>53.71</v>
      </c>
      <c r="C91" s="7" t="s">
        <v>286</v>
      </c>
      <c r="D91" s="7"/>
      <c r="E91" s="7"/>
      <c r="F91" s="7"/>
      <c r="G91" s="7"/>
      <c r="H91" s="7"/>
      <c r="I91" s="7"/>
      <c r="J91" s="13">
        <f t="shared" si="15"/>
        <v>492.13999999999976</v>
      </c>
      <c r="K91" s="294">
        <v>47.25</v>
      </c>
      <c r="L91" s="7">
        <v>54.01</v>
      </c>
      <c r="M91" s="13">
        <f t="shared" si="16"/>
        <v>485.37999999999977</v>
      </c>
      <c r="N91" s="40">
        <f aca="true" t="shared" si="18" ref="N91:N115">(+J91+M91)/2*11/100</f>
        <v>53.76359999999997</v>
      </c>
      <c r="O91" s="13">
        <f t="shared" si="17"/>
        <v>53.76359999999997</v>
      </c>
      <c r="P91" s="13">
        <v>0</v>
      </c>
      <c r="Q91" s="13">
        <v>0</v>
      </c>
      <c r="R91" s="7"/>
    </row>
    <row r="92" spans="1:18" ht="12.75">
      <c r="A92" s="7"/>
      <c r="B92" s="64">
        <v>53.722</v>
      </c>
      <c r="C92" s="7" t="s">
        <v>290</v>
      </c>
      <c r="D92" s="7"/>
      <c r="E92" s="7"/>
      <c r="F92" s="7"/>
      <c r="G92" s="7"/>
      <c r="H92" s="7"/>
      <c r="I92" s="7"/>
      <c r="J92" s="13">
        <f t="shared" si="15"/>
        <v>-0.009999999999997122</v>
      </c>
      <c r="K92" s="294"/>
      <c r="L92" s="7"/>
      <c r="M92" s="13">
        <f t="shared" si="16"/>
        <v>-0.009999999999997122</v>
      </c>
      <c r="N92" s="40">
        <f t="shared" si="18"/>
        <v>-0.0010999999999996835</v>
      </c>
      <c r="O92" s="13">
        <f t="shared" si="17"/>
        <v>-0.0010999999999996835</v>
      </c>
      <c r="P92" s="13">
        <v>0</v>
      </c>
      <c r="Q92" s="13">
        <v>0</v>
      </c>
      <c r="R92" s="7"/>
    </row>
    <row r="93" spans="1:18" ht="12.75">
      <c r="A93" s="7"/>
      <c r="B93" s="64">
        <v>53.723</v>
      </c>
      <c r="C93" s="7" t="s">
        <v>291</v>
      </c>
      <c r="D93" s="7"/>
      <c r="E93" s="7"/>
      <c r="F93" s="7"/>
      <c r="G93" s="7"/>
      <c r="H93" s="7"/>
      <c r="I93" s="7"/>
      <c r="J93" s="13">
        <f t="shared" si="15"/>
        <v>0</v>
      </c>
      <c r="K93" s="294"/>
      <c r="L93" s="13"/>
      <c r="M93" s="13">
        <f t="shared" si="16"/>
        <v>0</v>
      </c>
      <c r="N93" s="40">
        <f t="shared" si="18"/>
        <v>0</v>
      </c>
      <c r="O93" s="13">
        <f t="shared" si="17"/>
        <v>0</v>
      </c>
      <c r="P93" s="13">
        <v>0</v>
      </c>
      <c r="Q93" s="13">
        <v>0</v>
      </c>
      <c r="R93" s="7"/>
    </row>
    <row r="94" spans="1:18" ht="12.75">
      <c r="A94" s="7"/>
      <c r="B94" s="92">
        <v>53.765</v>
      </c>
      <c r="C94" s="7" t="s">
        <v>292</v>
      </c>
      <c r="D94" s="7"/>
      <c r="E94" s="7"/>
      <c r="F94" s="7"/>
      <c r="G94" s="7"/>
      <c r="H94" s="7"/>
      <c r="I94" s="7"/>
      <c r="J94" s="13">
        <f t="shared" si="15"/>
        <v>40.470000000000006</v>
      </c>
      <c r="K94" s="294"/>
      <c r="L94" s="7"/>
      <c r="M94" s="13">
        <f t="shared" si="16"/>
        <v>40.470000000000006</v>
      </c>
      <c r="N94" s="40">
        <f t="shared" si="18"/>
        <v>4.451700000000001</v>
      </c>
      <c r="O94" s="13">
        <f t="shared" si="17"/>
        <v>4.451700000000001</v>
      </c>
      <c r="P94" s="13">
        <v>0</v>
      </c>
      <c r="Q94" s="13">
        <v>0</v>
      </c>
      <c r="R94" s="7"/>
    </row>
    <row r="95" spans="1:18" ht="12.75">
      <c r="A95" s="7"/>
      <c r="B95" s="92">
        <v>53.73</v>
      </c>
      <c r="C95" s="7" t="s">
        <v>389</v>
      </c>
      <c r="D95" s="7"/>
      <c r="E95" s="7"/>
      <c r="F95" s="7"/>
      <c r="G95" s="7"/>
      <c r="H95" s="7"/>
      <c r="I95" s="7"/>
      <c r="J95" s="13">
        <f t="shared" si="15"/>
        <v>0</v>
      </c>
      <c r="K95" s="294"/>
      <c r="L95" s="7"/>
      <c r="M95" s="13">
        <f t="shared" si="16"/>
        <v>0</v>
      </c>
      <c r="N95" s="40">
        <f t="shared" si="18"/>
        <v>0</v>
      </c>
      <c r="O95" s="13">
        <f t="shared" si="17"/>
        <v>0</v>
      </c>
      <c r="P95" s="13">
        <v>0</v>
      </c>
      <c r="Q95" s="13">
        <v>0</v>
      </c>
      <c r="R95" s="7"/>
    </row>
    <row r="96" spans="1:18" ht="12.75">
      <c r="A96" s="7"/>
      <c r="B96" s="64">
        <v>53.745</v>
      </c>
      <c r="C96" s="7" t="s">
        <v>293</v>
      </c>
      <c r="D96" s="7"/>
      <c r="E96" s="7"/>
      <c r="F96" s="7"/>
      <c r="G96" s="7"/>
      <c r="H96" s="7"/>
      <c r="I96" s="7"/>
      <c r="J96" s="13">
        <f t="shared" si="15"/>
        <v>151.39</v>
      </c>
      <c r="K96" s="294">
        <v>8.9</v>
      </c>
      <c r="L96" s="13">
        <f>51.74</f>
        <v>51.74</v>
      </c>
      <c r="M96" s="13">
        <f t="shared" si="16"/>
        <v>108.54999999999998</v>
      </c>
      <c r="N96" s="40">
        <f t="shared" si="18"/>
        <v>14.296699999999996</v>
      </c>
      <c r="O96" s="13">
        <f t="shared" si="17"/>
        <v>14.296699999999996</v>
      </c>
      <c r="P96" s="13">
        <v>0</v>
      </c>
      <c r="Q96" s="13">
        <v>0</v>
      </c>
      <c r="R96" s="7"/>
    </row>
    <row r="97" spans="1:18" ht="12.75">
      <c r="A97" s="7"/>
      <c r="B97" s="64">
        <v>53.746</v>
      </c>
      <c r="C97" s="7" t="s">
        <v>294</v>
      </c>
      <c r="D97" s="7"/>
      <c r="E97" s="7"/>
      <c r="F97" s="7"/>
      <c r="G97" s="7"/>
      <c r="H97" s="7"/>
      <c r="I97" s="7"/>
      <c r="J97" s="13">
        <f t="shared" si="15"/>
        <v>12.859999999999994</v>
      </c>
      <c r="K97" s="294"/>
      <c r="L97" s="7"/>
      <c r="M97" s="13">
        <f t="shared" si="16"/>
        <v>12.859999999999994</v>
      </c>
      <c r="N97" s="40">
        <f t="shared" si="18"/>
        <v>1.4145999999999992</v>
      </c>
      <c r="O97" s="13">
        <f t="shared" si="17"/>
        <v>1.4145999999999992</v>
      </c>
      <c r="P97" s="13">
        <v>0</v>
      </c>
      <c r="Q97" s="13">
        <v>0</v>
      </c>
      <c r="R97" s="7"/>
    </row>
    <row r="98" spans="1:18" ht="12.75">
      <c r="A98" s="7"/>
      <c r="B98" s="64">
        <v>53.755</v>
      </c>
      <c r="C98" s="7" t="s">
        <v>295</v>
      </c>
      <c r="D98" s="7"/>
      <c r="E98" s="7"/>
      <c r="F98" s="7"/>
      <c r="G98" s="7"/>
      <c r="H98" s="7"/>
      <c r="I98" s="7"/>
      <c r="J98" s="13">
        <f t="shared" si="15"/>
        <v>0</v>
      </c>
      <c r="K98" s="294"/>
      <c r="L98" s="7"/>
      <c r="M98" s="13">
        <f t="shared" si="16"/>
        <v>0</v>
      </c>
      <c r="N98" s="40">
        <f t="shared" si="18"/>
        <v>0</v>
      </c>
      <c r="O98" s="13">
        <f t="shared" si="17"/>
        <v>0</v>
      </c>
      <c r="P98" s="13">
        <v>0</v>
      </c>
      <c r="Q98" s="13">
        <v>0</v>
      </c>
      <c r="R98" s="7"/>
    </row>
    <row r="99" spans="1:18" ht="12.75">
      <c r="A99" s="7"/>
      <c r="B99" s="64">
        <v>53.756</v>
      </c>
      <c r="C99" s="7" t="s">
        <v>296</v>
      </c>
      <c r="D99" s="7"/>
      <c r="E99" s="7"/>
      <c r="F99" s="7"/>
      <c r="G99" s="7"/>
      <c r="H99" s="7"/>
      <c r="I99" s="7"/>
      <c r="J99" s="13">
        <f t="shared" si="15"/>
        <v>0</v>
      </c>
      <c r="K99" s="294"/>
      <c r="L99" s="7"/>
      <c r="M99" s="13">
        <f t="shared" si="16"/>
        <v>0</v>
      </c>
      <c r="N99" s="40">
        <f t="shared" si="18"/>
        <v>0</v>
      </c>
      <c r="O99" s="13">
        <f t="shared" si="17"/>
        <v>0</v>
      </c>
      <c r="P99" s="13">
        <v>0</v>
      </c>
      <c r="Q99" s="13">
        <v>0</v>
      </c>
      <c r="R99" s="7"/>
    </row>
    <row r="100" spans="1:18" ht="12.75">
      <c r="A100" s="7"/>
      <c r="B100" s="64">
        <v>53.764</v>
      </c>
      <c r="C100" s="7" t="s">
        <v>297</v>
      </c>
      <c r="D100" s="7"/>
      <c r="E100" s="7"/>
      <c r="F100" s="7"/>
      <c r="G100" s="7"/>
      <c r="H100" s="7"/>
      <c r="I100" s="7"/>
      <c r="J100" s="13">
        <f t="shared" si="15"/>
        <v>-0.0010000000000047748</v>
      </c>
      <c r="K100" s="294"/>
      <c r="L100" s="7"/>
      <c r="M100" s="13">
        <f t="shared" si="16"/>
        <v>-0.0010000000000047748</v>
      </c>
      <c r="N100" s="40">
        <f t="shared" si="18"/>
        <v>-0.00011000000000052523</v>
      </c>
      <c r="O100" s="13">
        <f t="shared" si="17"/>
        <v>-0.00011000000000052523</v>
      </c>
      <c r="P100" s="13">
        <v>0</v>
      </c>
      <c r="Q100" s="13">
        <v>0</v>
      </c>
      <c r="R100" s="7"/>
    </row>
    <row r="101" spans="1:18" ht="12.75">
      <c r="A101" s="7"/>
      <c r="B101" s="64">
        <v>53.766</v>
      </c>
      <c r="C101" s="7" t="s">
        <v>298</v>
      </c>
      <c r="D101" s="7"/>
      <c r="E101" s="7"/>
      <c r="F101" s="7"/>
      <c r="G101" s="7"/>
      <c r="H101" s="7"/>
      <c r="I101" s="7"/>
      <c r="J101" s="13">
        <f t="shared" si="15"/>
        <v>0</v>
      </c>
      <c r="K101" s="294"/>
      <c r="L101" s="7"/>
      <c r="M101" s="13">
        <f t="shared" si="16"/>
        <v>0</v>
      </c>
      <c r="N101" s="40">
        <f t="shared" si="18"/>
        <v>0</v>
      </c>
      <c r="O101" s="13">
        <f t="shared" si="17"/>
        <v>0</v>
      </c>
      <c r="P101" s="13">
        <v>0</v>
      </c>
      <c r="Q101" s="13">
        <v>0</v>
      </c>
      <c r="R101" s="7"/>
    </row>
    <row r="102" spans="1:18" ht="12.75">
      <c r="A102" s="7"/>
      <c r="B102" s="64">
        <v>53.767</v>
      </c>
      <c r="C102" s="7" t="s">
        <v>299</v>
      </c>
      <c r="D102" s="7"/>
      <c r="E102" s="7"/>
      <c r="F102" s="7"/>
      <c r="G102" s="7"/>
      <c r="H102" s="7"/>
      <c r="I102" s="7"/>
      <c r="J102" s="13">
        <f t="shared" si="15"/>
        <v>0</v>
      </c>
      <c r="K102" s="294"/>
      <c r="L102" s="13"/>
      <c r="M102" s="13">
        <f t="shared" si="16"/>
        <v>0</v>
      </c>
      <c r="N102" s="40">
        <f t="shared" si="18"/>
        <v>0</v>
      </c>
      <c r="O102" s="13">
        <f t="shared" si="17"/>
        <v>0</v>
      </c>
      <c r="P102" s="13">
        <v>0</v>
      </c>
      <c r="Q102" s="13">
        <v>0</v>
      </c>
      <c r="R102" s="7"/>
    </row>
    <row r="103" spans="1:18" ht="12.75">
      <c r="A103" s="7"/>
      <c r="B103" s="64">
        <v>73.768</v>
      </c>
      <c r="C103" s="7" t="s">
        <v>300</v>
      </c>
      <c r="D103" s="7"/>
      <c r="E103" s="7"/>
      <c r="F103" s="7"/>
      <c r="G103" s="7"/>
      <c r="H103" s="7"/>
      <c r="I103" s="7"/>
      <c r="J103" s="13">
        <f t="shared" si="15"/>
        <v>3.885780586188048E-15</v>
      </c>
      <c r="K103" s="294"/>
      <c r="L103" s="7"/>
      <c r="M103" s="13">
        <f t="shared" si="16"/>
        <v>3.885780586188048E-15</v>
      </c>
      <c r="N103" s="40">
        <f t="shared" si="18"/>
        <v>4.274358644806853E-16</v>
      </c>
      <c r="O103" s="13">
        <f t="shared" si="17"/>
        <v>4.274358644806853E-16</v>
      </c>
      <c r="P103" s="13">
        <v>0</v>
      </c>
      <c r="Q103" s="13">
        <v>0</v>
      </c>
      <c r="R103" s="7"/>
    </row>
    <row r="104" spans="1:18" ht="12.75">
      <c r="A104" s="7"/>
      <c r="B104" s="92">
        <v>53.769</v>
      </c>
      <c r="C104" s="7" t="s">
        <v>301</v>
      </c>
      <c r="D104" s="7"/>
      <c r="E104" s="7"/>
      <c r="F104" s="7"/>
      <c r="G104" s="7"/>
      <c r="H104" s="7"/>
      <c r="I104" s="7"/>
      <c r="J104" s="13">
        <f t="shared" si="15"/>
        <v>0</v>
      </c>
      <c r="K104" s="294"/>
      <c r="L104" s="7"/>
      <c r="M104" s="13">
        <f t="shared" si="16"/>
        <v>0</v>
      </c>
      <c r="N104" s="40">
        <f t="shared" si="18"/>
        <v>0</v>
      </c>
      <c r="O104" s="13">
        <f t="shared" si="17"/>
        <v>0</v>
      </c>
      <c r="P104" s="13">
        <v>0</v>
      </c>
      <c r="Q104" s="13">
        <v>0</v>
      </c>
      <c r="R104" s="7"/>
    </row>
    <row r="105" spans="1:18" ht="12.75">
      <c r="A105" s="7"/>
      <c r="B105" s="92">
        <v>53.77</v>
      </c>
      <c r="C105" s="7" t="s">
        <v>302</v>
      </c>
      <c r="D105" s="7"/>
      <c r="E105" s="7"/>
      <c r="F105" s="7"/>
      <c r="G105" s="7"/>
      <c r="H105" s="7"/>
      <c r="I105" s="7"/>
      <c r="J105" s="13">
        <f t="shared" si="15"/>
        <v>0</v>
      </c>
      <c r="K105" s="294"/>
      <c r="L105" s="7"/>
      <c r="M105" s="13">
        <f t="shared" si="16"/>
        <v>0</v>
      </c>
      <c r="N105" s="40">
        <f t="shared" si="18"/>
        <v>0</v>
      </c>
      <c r="O105" s="13">
        <f t="shared" si="17"/>
        <v>0</v>
      </c>
      <c r="P105" s="13">
        <v>0</v>
      </c>
      <c r="Q105" s="13">
        <v>0</v>
      </c>
      <c r="R105" s="7"/>
    </row>
    <row r="106" spans="1:18" ht="12.75">
      <c r="A106" s="7"/>
      <c r="B106" s="64">
        <v>53.771</v>
      </c>
      <c r="C106" s="7" t="s">
        <v>303</v>
      </c>
      <c r="D106" s="7"/>
      <c r="E106" s="7"/>
      <c r="F106" s="7"/>
      <c r="G106" s="7"/>
      <c r="H106" s="7"/>
      <c r="I106" s="7"/>
      <c r="J106" s="13">
        <f t="shared" si="15"/>
        <v>0</v>
      </c>
      <c r="K106" s="294"/>
      <c r="L106" s="7"/>
      <c r="M106" s="13">
        <f t="shared" si="16"/>
        <v>0</v>
      </c>
      <c r="N106" s="40">
        <f t="shared" si="18"/>
        <v>0</v>
      </c>
      <c r="O106" s="13">
        <f t="shared" si="17"/>
        <v>0</v>
      </c>
      <c r="P106" s="13">
        <v>0</v>
      </c>
      <c r="Q106" s="13">
        <v>0</v>
      </c>
      <c r="R106" s="7"/>
    </row>
    <row r="107" spans="1:18" ht="12.75">
      <c r="A107" s="7"/>
      <c r="B107" s="64">
        <v>53.774</v>
      </c>
      <c r="C107" s="7" t="s">
        <v>304</v>
      </c>
      <c r="D107" s="7"/>
      <c r="E107" s="7"/>
      <c r="F107" s="7"/>
      <c r="G107" s="7"/>
      <c r="H107" s="7"/>
      <c r="I107" s="7"/>
      <c r="J107" s="13">
        <f t="shared" si="15"/>
        <v>0</v>
      </c>
      <c r="K107" s="294"/>
      <c r="L107" s="13"/>
      <c r="M107" s="13">
        <f t="shared" si="16"/>
        <v>0</v>
      </c>
      <c r="N107" s="40">
        <f t="shared" si="18"/>
        <v>0</v>
      </c>
      <c r="O107" s="13">
        <f t="shared" si="17"/>
        <v>0</v>
      </c>
      <c r="P107" s="13">
        <v>0</v>
      </c>
      <c r="Q107" s="13">
        <v>0</v>
      </c>
      <c r="R107" s="7"/>
    </row>
    <row r="108" spans="1:18" ht="12.75">
      <c r="A108" s="7"/>
      <c r="B108" s="64">
        <v>53.775</v>
      </c>
      <c r="C108" s="7" t="s">
        <v>305</v>
      </c>
      <c r="D108" s="7"/>
      <c r="E108" s="7"/>
      <c r="F108" s="7"/>
      <c r="G108" s="7"/>
      <c r="H108" s="7"/>
      <c r="I108" s="7"/>
      <c r="J108" s="13">
        <f t="shared" si="15"/>
        <v>0</v>
      </c>
      <c r="K108" s="294"/>
      <c r="L108" s="7"/>
      <c r="M108" s="13">
        <f t="shared" si="16"/>
        <v>0</v>
      </c>
      <c r="N108" s="40">
        <f t="shared" si="18"/>
        <v>0</v>
      </c>
      <c r="O108" s="13">
        <f t="shared" si="17"/>
        <v>0</v>
      </c>
      <c r="P108" s="13">
        <v>0</v>
      </c>
      <c r="Q108" s="13">
        <v>0</v>
      </c>
      <c r="R108" s="7"/>
    </row>
    <row r="109" spans="1:18" ht="12.75">
      <c r="A109" s="7"/>
      <c r="B109" s="64">
        <v>53.531</v>
      </c>
      <c r="C109" s="7" t="s">
        <v>306</v>
      </c>
      <c r="D109" s="7"/>
      <c r="E109" s="7"/>
      <c r="F109" s="7"/>
      <c r="G109" s="7"/>
      <c r="H109" s="7"/>
      <c r="I109" s="7"/>
      <c r="J109" s="13">
        <f t="shared" si="15"/>
        <v>103.58000000000001</v>
      </c>
      <c r="K109" s="294">
        <v>7.48</v>
      </c>
      <c r="L109" s="7">
        <v>11.5</v>
      </c>
      <c r="M109" s="13">
        <f t="shared" si="16"/>
        <v>99.56000000000002</v>
      </c>
      <c r="N109" s="40">
        <f t="shared" si="18"/>
        <v>11.172700000000003</v>
      </c>
      <c r="O109" s="13">
        <f t="shared" si="17"/>
        <v>11.172700000000003</v>
      </c>
      <c r="P109" s="13">
        <v>0</v>
      </c>
      <c r="Q109" s="13">
        <v>0</v>
      </c>
      <c r="R109" s="7"/>
    </row>
    <row r="110" spans="1:18" ht="12.75">
      <c r="A110" s="7"/>
      <c r="B110" s="64">
        <v>53.776</v>
      </c>
      <c r="C110" s="7" t="s">
        <v>307</v>
      </c>
      <c r="D110" s="7"/>
      <c r="E110" s="7"/>
      <c r="F110" s="7"/>
      <c r="G110" s="7"/>
      <c r="H110" s="7"/>
      <c r="I110" s="7"/>
      <c r="J110" s="13">
        <f t="shared" si="15"/>
        <v>0</v>
      </c>
      <c r="K110" s="294"/>
      <c r="L110" s="7"/>
      <c r="M110" s="13">
        <f t="shared" si="16"/>
        <v>0</v>
      </c>
      <c r="N110" s="40">
        <f t="shared" si="18"/>
        <v>0</v>
      </c>
      <c r="O110" s="13">
        <f t="shared" si="17"/>
        <v>0</v>
      </c>
      <c r="P110" s="13">
        <v>0</v>
      </c>
      <c r="Q110" s="13">
        <v>0</v>
      </c>
      <c r="R110" s="7"/>
    </row>
    <row r="111" spans="1:18" ht="12.75">
      <c r="A111" s="7"/>
      <c r="B111" s="64">
        <v>53.777</v>
      </c>
      <c r="C111" s="7" t="s">
        <v>390</v>
      </c>
      <c r="D111" s="7"/>
      <c r="E111" s="7"/>
      <c r="F111" s="7"/>
      <c r="G111" s="7"/>
      <c r="H111" s="7"/>
      <c r="I111" s="7"/>
      <c r="J111" s="13">
        <f t="shared" si="15"/>
        <v>45.38000000000001</v>
      </c>
      <c r="K111" s="294"/>
      <c r="L111" s="7"/>
      <c r="M111" s="13">
        <f t="shared" si="16"/>
        <v>45.38000000000001</v>
      </c>
      <c r="N111" s="40">
        <f t="shared" si="18"/>
        <v>4.991800000000001</v>
      </c>
      <c r="O111" s="13">
        <f t="shared" si="17"/>
        <v>4.991800000000001</v>
      </c>
      <c r="P111" s="13">
        <v>0</v>
      </c>
      <c r="Q111" s="13">
        <v>0</v>
      </c>
      <c r="R111" s="7"/>
    </row>
    <row r="112" spans="1:18" ht="12.75">
      <c r="A112" s="7"/>
      <c r="B112" s="64">
        <v>53.778</v>
      </c>
      <c r="C112" s="7" t="s">
        <v>486</v>
      </c>
      <c r="D112" s="7"/>
      <c r="E112" s="7"/>
      <c r="F112" s="7"/>
      <c r="G112" s="7"/>
      <c r="H112" s="7"/>
      <c r="I112" s="7"/>
      <c r="J112" s="13">
        <f t="shared" si="15"/>
        <v>36.37</v>
      </c>
      <c r="K112" s="294"/>
      <c r="L112" s="7"/>
      <c r="M112" s="13">
        <f t="shared" si="16"/>
        <v>36.37</v>
      </c>
      <c r="N112" s="40">
        <f t="shared" si="18"/>
        <v>4.0007</v>
      </c>
      <c r="O112" s="13">
        <f t="shared" si="17"/>
        <v>4.0007</v>
      </c>
      <c r="P112" s="13"/>
      <c r="Q112" s="13"/>
      <c r="R112" s="7"/>
    </row>
    <row r="113" spans="1:18" ht="12.75">
      <c r="A113" s="7"/>
      <c r="B113" s="64">
        <v>53.749</v>
      </c>
      <c r="C113" s="7" t="s">
        <v>487</v>
      </c>
      <c r="D113" s="7"/>
      <c r="E113" s="7"/>
      <c r="F113" s="7"/>
      <c r="G113" s="7"/>
      <c r="H113" s="7"/>
      <c r="I113" s="7"/>
      <c r="J113" s="13">
        <f t="shared" si="15"/>
        <v>95.44</v>
      </c>
      <c r="K113" s="294"/>
      <c r="L113" s="7"/>
      <c r="M113" s="13">
        <f t="shared" si="16"/>
        <v>95.44</v>
      </c>
      <c r="N113" s="40">
        <f t="shared" si="18"/>
        <v>10.498399999999998</v>
      </c>
      <c r="O113" s="13">
        <f t="shared" si="17"/>
        <v>10.498399999999998</v>
      </c>
      <c r="P113" s="13"/>
      <c r="Q113" s="13"/>
      <c r="R113" s="7"/>
    </row>
    <row r="114" spans="1:18" ht="12.75">
      <c r="A114" s="7"/>
      <c r="B114" s="64"/>
      <c r="C114" s="7" t="s">
        <v>488</v>
      </c>
      <c r="D114" s="7"/>
      <c r="E114" s="7"/>
      <c r="F114" s="7"/>
      <c r="G114" s="7"/>
      <c r="H114" s="7"/>
      <c r="I114" s="7"/>
      <c r="J114" s="13">
        <f t="shared" si="15"/>
        <v>86.1</v>
      </c>
      <c r="K114" s="294"/>
      <c r="L114" s="7"/>
      <c r="M114" s="13">
        <f t="shared" si="16"/>
        <v>86.1</v>
      </c>
      <c r="N114" s="40">
        <f t="shared" si="18"/>
        <v>9.470999999999998</v>
      </c>
      <c r="O114" s="13">
        <f t="shared" si="17"/>
        <v>9.470999999999998</v>
      </c>
      <c r="P114" s="13"/>
      <c r="Q114" s="13"/>
      <c r="R114" s="7"/>
    </row>
    <row r="115" spans="1:18" ht="12.75">
      <c r="A115" s="7"/>
      <c r="B115" s="64"/>
      <c r="C115" s="7" t="s">
        <v>410</v>
      </c>
      <c r="D115" s="7"/>
      <c r="E115" s="7"/>
      <c r="F115" s="7"/>
      <c r="G115" s="7"/>
      <c r="H115" s="7"/>
      <c r="I115" s="7"/>
      <c r="J115" s="13">
        <f t="shared" si="15"/>
        <v>0</v>
      </c>
      <c r="K115" s="294"/>
      <c r="L115" s="7"/>
      <c r="M115" s="13">
        <f>+J115+K115-L115</f>
        <v>0</v>
      </c>
      <c r="N115" s="40">
        <f t="shared" si="18"/>
        <v>0</v>
      </c>
      <c r="O115" s="13">
        <f t="shared" si="17"/>
        <v>0</v>
      </c>
      <c r="P115" s="13">
        <v>0</v>
      </c>
      <c r="Q115" s="13">
        <v>0</v>
      </c>
      <c r="R115" s="7"/>
    </row>
    <row r="116" spans="1:18" ht="12.75">
      <c r="A116" s="93"/>
      <c r="B116" s="94"/>
      <c r="C116" s="93"/>
      <c r="D116" s="93"/>
      <c r="E116" s="93"/>
      <c r="F116" s="93"/>
      <c r="G116" s="93"/>
      <c r="H116" s="93"/>
      <c r="I116" s="93"/>
      <c r="J116" s="31">
        <f aca="true" t="shared" si="19" ref="J116:Q116">SUM(J90:J115)</f>
        <v>4873.178999999999</v>
      </c>
      <c r="K116" s="31">
        <f t="shared" si="19"/>
        <v>740.81</v>
      </c>
      <c r="L116" s="31">
        <f t="shared" si="19"/>
        <v>533.92</v>
      </c>
      <c r="M116" s="31">
        <f t="shared" si="19"/>
        <v>5080.069</v>
      </c>
      <c r="N116" s="31">
        <f t="shared" si="19"/>
        <v>547.42864</v>
      </c>
      <c r="O116" s="31">
        <f t="shared" si="19"/>
        <v>547.42864</v>
      </c>
      <c r="P116" s="31">
        <f t="shared" si="19"/>
        <v>0</v>
      </c>
      <c r="Q116" s="31">
        <f t="shared" si="19"/>
        <v>0</v>
      </c>
      <c r="R116" s="93"/>
    </row>
    <row r="117" spans="1:18" ht="12.75">
      <c r="A117" s="30"/>
      <c r="B117" s="95"/>
      <c r="C117" s="30"/>
      <c r="D117" s="30"/>
      <c r="E117" s="30"/>
      <c r="F117" s="30"/>
      <c r="G117" s="30"/>
      <c r="H117" s="30"/>
      <c r="I117" s="30"/>
      <c r="J117" s="31">
        <f aca="true" t="shared" si="20" ref="J117:Q117">+J80+J84+J88+J116</f>
        <v>4873.178999999999</v>
      </c>
      <c r="K117" s="31">
        <f t="shared" si="20"/>
        <v>740.81</v>
      </c>
      <c r="L117" s="31">
        <f t="shared" si="20"/>
        <v>533.92</v>
      </c>
      <c r="M117" s="31">
        <f t="shared" si="20"/>
        <v>5080.069</v>
      </c>
      <c r="N117" s="31">
        <f t="shared" si="20"/>
        <v>547.42864</v>
      </c>
      <c r="O117" s="31">
        <f t="shared" si="20"/>
        <v>547.42864</v>
      </c>
      <c r="P117" s="31">
        <f t="shared" si="20"/>
        <v>0</v>
      </c>
      <c r="Q117" s="31">
        <f t="shared" si="20"/>
        <v>0</v>
      </c>
      <c r="R117" s="30"/>
    </row>
    <row r="118" spans="1:18" ht="15.75">
      <c r="A118" s="102" t="s">
        <v>287</v>
      </c>
      <c r="B118" s="64"/>
      <c r="C118" s="7"/>
      <c r="D118" s="7"/>
      <c r="E118" s="7"/>
      <c r="F118" s="7"/>
      <c r="G118" s="7"/>
      <c r="H118" s="7"/>
      <c r="I118" s="7"/>
      <c r="J118" s="7"/>
      <c r="K118" s="7"/>
      <c r="L118" s="7"/>
      <c r="M118" s="7"/>
      <c r="N118" s="7"/>
      <c r="O118" s="7"/>
      <c r="P118" s="7"/>
      <c r="Q118" s="7"/>
      <c r="R118" s="7"/>
    </row>
    <row r="119" spans="1:18" ht="12.75">
      <c r="A119" s="22" t="s">
        <v>281</v>
      </c>
      <c r="B119" s="64"/>
      <c r="C119" s="7"/>
      <c r="D119" s="7"/>
      <c r="E119" s="7"/>
      <c r="F119" s="7"/>
      <c r="G119" s="7"/>
      <c r="H119" s="7"/>
      <c r="I119" s="7"/>
      <c r="J119" s="8"/>
      <c r="K119" s="8"/>
      <c r="L119" s="8"/>
      <c r="M119" s="8"/>
      <c r="N119" s="8"/>
      <c r="O119" s="8"/>
      <c r="P119" s="8"/>
      <c r="Q119" s="8"/>
      <c r="R119" s="7"/>
    </row>
    <row r="120" spans="1:18" ht="12.75">
      <c r="A120" s="22"/>
      <c r="B120" s="64"/>
      <c r="C120" s="7" t="s">
        <v>402</v>
      </c>
      <c r="D120" s="7"/>
      <c r="E120" s="7"/>
      <c r="F120" s="7"/>
      <c r="G120" s="7"/>
      <c r="H120" s="7"/>
      <c r="I120" s="7"/>
      <c r="J120" s="40">
        <f>+M49</f>
        <v>0</v>
      </c>
      <c r="K120" s="8"/>
      <c r="L120" s="40"/>
      <c r="M120" s="13">
        <f>+J120+K120-L120</f>
        <v>0</v>
      </c>
      <c r="N120" s="40">
        <f>(+J120+M120)/2*12.5/100</f>
        <v>0</v>
      </c>
      <c r="O120" s="13">
        <f>+N120</f>
        <v>0</v>
      </c>
      <c r="P120" s="13">
        <v>0</v>
      </c>
      <c r="Q120" s="13">
        <v>0</v>
      </c>
      <c r="R120" s="7"/>
    </row>
    <row r="121" spans="1:18" ht="12.75">
      <c r="A121" s="22"/>
      <c r="B121" s="64"/>
      <c r="C121" s="7" t="s">
        <v>403</v>
      </c>
      <c r="D121" s="7"/>
      <c r="E121" s="7"/>
      <c r="F121" s="7"/>
      <c r="G121" s="7"/>
      <c r="H121" s="7"/>
      <c r="I121" s="7"/>
      <c r="J121" s="40">
        <f>+M50</f>
        <v>0</v>
      </c>
      <c r="K121" s="8"/>
      <c r="L121" s="40"/>
      <c r="M121" s="13">
        <f>+J121+K121-L121</f>
        <v>0</v>
      </c>
      <c r="N121" s="40">
        <f>(+J121+M121)/2*12.5/100</f>
        <v>0</v>
      </c>
      <c r="O121" s="13">
        <f>+N121</f>
        <v>0</v>
      </c>
      <c r="P121" s="13">
        <v>0</v>
      </c>
      <c r="Q121" s="13">
        <v>0</v>
      </c>
      <c r="R121" s="7"/>
    </row>
    <row r="122" spans="1:18" ht="12.75">
      <c r="A122" s="22"/>
      <c r="B122" s="64"/>
      <c r="C122" s="7" t="s">
        <v>404</v>
      </c>
      <c r="D122" s="7"/>
      <c r="E122" s="7"/>
      <c r="F122" s="7"/>
      <c r="G122" s="7"/>
      <c r="H122" s="7"/>
      <c r="I122" s="7"/>
      <c r="J122" s="40">
        <f>+M51</f>
        <v>0</v>
      </c>
      <c r="K122" s="8"/>
      <c r="L122" s="40"/>
      <c r="M122" s="13">
        <f>+J122+K122-L122</f>
        <v>0</v>
      </c>
      <c r="N122" s="40">
        <f>(+J122+M122)/2*12.5/100</f>
        <v>0</v>
      </c>
      <c r="O122" s="13">
        <f>+N122</f>
        <v>0</v>
      </c>
      <c r="P122" s="13">
        <v>0</v>
      </c>
      <c r="Q122" s="13">
        <v>0</v>
      </c>
      <c r="R122" s="7"/>
    </row>
    <row r="123" spans="1:18" ht="12.75">
      <c r="A123" s="7"/>
      <c r="B123" s="64"/>
      <c r="C123" s="7" t="s">
        <v>405</v>
      </c>
      <c r="D123" s="7"/>
      <c r="E123" s="7"/>
      <c r="F123" s="7"/>
      <c r="G123" s="7"/>
      <c r="H123" s="7"/>
      <c r="I123" s="7"/>
      <c r="J123" s="40">
        <f>+M52</f>
        <v>0</v>
      </c>
      <c r="K123" s="13"/>
      <c r="L123" s="13"/>
      <c r="M123" s="13">
        <f>+J123+K123-L123</f>
        <v>0</v>
      </c>
      <c r="N123" s="40">
        <f>(+J123+M123)/2*12.5/100</f>
        <v>0</v>
      </c>
      <c r="O123" s="13">
        <f>+N123</f>
        <v>0</v>
      </c>
      <c r="P123" s="13">
        <v>0</v>
      </c>
      <c r="Q123" s="13">
        <v>0</v>
      </c>
      <c r="R123" s="7"/>
    </row>
    <row r="124" spans="1:18" ht="12.75">
      <c r="A124" s="93"/>
      <c r="B124" s="94"/>
      <c r="C124" s="93"/>
      <c r="D124" s="93"/>
      <c r="E124" s="93"/>
      <c r="F124" s="93"/>
      <c r="G124" s="93"/>
      <c r="H124" s="93"/>
      <c r="I124" s="93"/>
      <c r="J124" s="31">
        <f aca="true" t="shared" si="21" ref="J124:Q124">+J120+J121+J122</f>
        <v>0</v>
      </c>
      <c r="K124" s="31">
        <f t="shared" si="21"/>
        <v>0</v>
      </c>
      <c r="L124" s="31">
        <f t="shared" si="21"/>
        <v>0</v>
      </c>
      <c r="M124" s="31">
        <f t="shared" si="21"/>
        <v>0</v>
      </c>
      <c r="N124" s="31">
        <f t="shared" si="21"/>
        <v>0</v>
      </c>
      <c r="O124" s="31">
        <f t="shared" si="21"/>
        <v>0</v>
      </c>
      <c r="P124" s="31">
        <f t="shared" si="21"/>
        <v>0</v>
      </c>
      <c r="Q124" s="31">
        <f t="shared" si="21"/>
        <v>0</v>
      </c>
      <c r="R124" s="93"/>
    </row>
    <row r="125" spans="1:18" ht="12.75">
      <c r="A125" s="22" t="s">
        <v>282</v>
      </c>
      <c r="B125" s="64"/>
      <c r="C125" s="7"/>
      <c r="D125" s="7"/>
      <c r="E125" s="7"/>
      <c r="F125" s="7"/>
      <c r="G125" s="7"/>
      <c r="H125" s="7"/>
      <c r="I125" s="7"/>
      <c r="J125" s="8"/>
      <c r="K125" s="8"/>
      <c r="L125" s="8"/>
      <c r="M125" s="8"/>
      <c r="N125" s="8"/>
      <c r="O125" s="8"/>
      <c r="P125" s="8"/>
      <c r="Q125" s="8"/>
      <c r="R125" s="7"/>
    </row>
    <row r="126" spans="1:18" ht="12.75">
      <c r="A126" s="7"/>
      <c r="B126" s="64"/>
      <c r="C126" s="7"/>
      <c r="D126" s="7"/>
      <c r="E126" s="7"/>
      <c r="F126" s="7"/>
      <c r="G126" s="7"/>
      <c r="H126" s="7"/>
      <c r="I126" s="7"/>
      <c r="J126" s="13">
        <f>+M55</f>
        <v>0</v>
      </c>
      <c r="K126" s="7"/>
      <c r="L126" s="7"/>
      <c r="M126" s="13">
        <f>+J126+K126-L126</f>
        <v>0</v>
      </c>
      <c r="N126" s="40">
        <f>(+J126+M126)/2*12.5/100</f>
        <v>0</v>
      </c>
      <c r="O126" s="13">
        <f>+N126</f>
        <v>0</v>
      </c>
      <c r="P126" s="13">
        <v>0</v>
      </c>
      <c r="Q126" s="13">
        <v>0</v>
      </c>
      <c r="R126" s="7"/>
    </row>
    <row r="127" spans="1:18" ht="12.75">
      <c r="A127" s="7"/>
      <c r="B127" s="64"/>
      <c r="C127" s="7"/>
      <c r="D127" s="7"/>
      <c r="E127" s="7"/>
      <c r="F127" s="7"/>
      <c r="G127" s="7"/>
      <c r="H127" s="7"/>
      <c r="I127" s="7"/>
      <c r="J127" s="13">
        <f>+M56</f>
        <v>0</v>
      </c>
      <c r="K127" s="7"/>
      <c r="L127" s="7"/>
      <c r="M127" s="13">
        <f>+J127+K127-L127</f>
        <v>0</v>
      </c>
      <c r="N127" s="40">
        <f>(+J127+M127)/2*12.5/100</f>
        <v>0</v>
      </c>
      <c r="O127" s="13">
        <f>+N127</f>
        <v>0</v>
      </c>
      <c r="P127" s="13">
        <v>0</v>
      </c>
      <c r="Q127" s="13">
        <v>0</v>
      </c>
      <c r="R127" s="7"/>
    </row>
    <row r="128" spans="1:18" ht="12.75">
      <c r="A128" s="93"/>
      <c r="B128" s="94"/>
      <c r="C128" s="93"/>
      <c r="D128" s="93"/>
      <c r="E128" s="93"/>
      <c r="F128" s="93"/>
      <c r="G128" s="93"/>
      <c r="H128" s="93"/>
      <c r="I128" s="93"/>
      <c r="J128" s="31">
        <f aca="true" t="shared" si="22" ref="J128:Q128">+J126+J127</f>
        <v>0</v>
      </c>
      <c r="K128" s="31">
        <f t="shared" si="22"/>
        <v>0</v>
      </c>
      <c r="L128" s="31">
        <f t="shared" si="22"/>
        <v>0</v>
      </c>
      <c r="M128" s="31">
        <f t="shared" si="22"/>
        <v>0</v>
      </c>
      <c r="N128" s="31">
        <f t="shared" si="22"/>
        <v>0</v>
      </c>
      <c r="O128" s="31">
        <f t="shared" si="22"/>
        <v>0</v>
      </c>
      <c r="P128" s="31">
        <f t="shared" si="22"/>
        <v>0</v>
      </c>
      <c r="Q128" s="31">
        <f t="shared" si="22"/>
        <v>0</v>
      </c>
      <c r="R128" s="93"/>
    </row>
    <row r="129" spans="1:18" ht="12.75">
      <c r="A129" s="22" t="s">
        <v>283</v>
      </c>
      <c r="B129" s="64"/>
      <c r="C129" s="7"/>
      <c r="D129" s="7"/>
      <c r="E129" s="7"/>
      <c r="F129" s="7"/>
      <c r="G129" s="7"/>
      <c r="H129" s="7"/>
      <c r="I129" s="7"/>
      <c r="J129" s="8"/>
      <c r="K129" s="8"/>
      <c r="L129" s="8"/>
      <c r="M129" s="8"/>
      <c r="N129" s="8"/>
      <c r="O129" s="8"/>
      <c r="P129" s="8"/>
      <c r="Q129" s="8"/>
      <c r="R129" s="7"/>
    </row>
    <row r="130" spans="1:18" ht="12.75">
      <c r="A130" s="7"/>
      <c r="B130" s="92">
        <v>54.2</v>
      </c>
      <c r="C130" s="7" t="s">
        <v>321</v>
      </c>
      <c r="D130" s="7"/>
      <c r="E130" s="7"/>
      <c r="F130" s="7"/>
      <c r="G130" s="7"/>
      <c r="H130" s="7"/>
      <c r="I130" s="7"/>
      <c r="J130" s="13">
        <f>+M59</f>
        <v>272.37999999999994</v>
      </c>
      <c r="K130" s="84"/>
      <c r="L130" s="84"/>
      <c r="M130" s="84">
        <f>+J130+K130-L130</f>
        <v>272.37999999999994</v>
      </c>
      <c r="N130" s="84">
        <f>(+J130+M130)/2*10/100</f>
        <v>27.237999999999992</v>
      </c>
      <c r="O130" s="13">
        <f>+N130</f>
        <v>27.237999999999992</v>
      </c>
      <c r="P130" s="13">
        <v>0</v>
      </c>
      <c r="Q130" s="13">
        <v>0</v>
      </c>
      <c r="R130" s="7"/>
    </row>
    <row r="131" spans="1:18" ht="12.75">
      <c r="A131" s="7"/>
      <c r="B131" s="92"/>
      <c r="C131" s="33" t="s">
        <v>492</v>
      </c>
      <c r="D131" s="7"/>
      <c r="E131" s="7"/>
      <c r="F131" s="7"/>
      <c r="G131" s="7"/>
      <c r="H131" s="7"/>
      <c r="I131" s="7"/>
      <c r="J131" s="13">
        <f>+M60</f>
        <v>50</v>
      </c>
      <c r="K131" s="84">
        <v>45</v>
      </c>
      <c r="L131" s="84">
        <v>5</v>
      </c>
      <c r="M131" s="84">
        <f>+J131+K131-L131</f>
        <v>90</v>
      </c>
      <c r="N131" s="84">
        <f>(+J131+M131)/2*1.72/100</f>
        <v>1.204</v>
      </c>
      <c r="O131" s="13">
        <f>+N131</f>
        <v>1.204</v>
      </c>
      <c r="P131" s="13"/>
      <c r="Q131" s="13"/>
      <c r="R131" s="7"/>
    </row>
    <row r="132" spans="1:18" ht="12.75">
      <c r="A132" s="7"/>
      <c r="B132" s="92"/>
      <c r="C132" s="33" t="s">
        <v>493</v>
      </c>
      <c r="D132" s="7"/>
      <c r="E132" s="7"/>
      <c r="F132" s="7"/>
      <c r="G132" s="7"/>
      <c r="H132" s="7"/>
      <c r="I132" s="7"/>
      <c r="J132" s="13">
        <f>+M61</f>
        <v>75.36</v>
      </c>
      <c r="K132" s="84">
        <v>223.19</v>
      </c>
      <c r="L132" s="84">
        <v>7.54</v>
      </c>
      <c r="M132" s="84">
        <f>+J132+K132-L132</f>
        <v>291.01</v>
      </c>
      <c r="N132" s="84">
        <f>(+J132+M132)/2*10/100</f>
        <v>18.3185</v>
      </c>
      <c r="O132" s="13">
        <f>+N132</f>
        <v>18.3185</v>
      </c>
      <c r="P132" s="13"/>
      <c r="Q132" s="13"/>
      <c r="R132" s="7"/>
    </row>
    <row r="133" spans="1:18" ht="12.75">
      <c r="A133" s="7"/>
      <c r="B133" s="64"/>
      <c r="C133" s="158" t="s">
        <v>494</v>
      </c>
      <c r="D133" s="158"/>
      <c r="E133" s="158"/>
      <c r="F133" s="158"/>
      <c r="G133" s="158"/>
      <c r="H133" s="158"/>
      <c r="I133" s="158"/>
      <c r="J133" s="40">
        <f>+M62</f>
        <v>327.96</v>
      </c>
      <c r="K133" s="285">
        <v>243.68</v>
      </c>
      <c r="L133" s="285">
        <v>5.96</v>
      </c>
      <c r="M133" s="84">
        <f>+J133+K133-L133</f>
        <v>565.68</v>
      </c>
      <c r="N133" s="84">
        <f>(+J133+M133)/2*10/100</f>
        <v>44.68199999999999</v>
      </c>
      <c r="O133" s="13">
        <f>+N133</f>
        <v>44.68199999999999</v>
      </c>
      <c r="P133" s="13">
        <v>0</v>
      </c>
      <c r="Q133" s="13">
        <v>0</v>
      </c>
      <c r="R133" s="7"/>
    </row>
    <row r="134" spans="1:18" ht="12.75">
      <c r="A134" s="93"/>
      <c r="B134" s="94"/>
      <c r="C134" s="93"/>
      <c r="D134" s="93"/>
      <c r="E134" s="93"/>
      <c r="F134" s="93"/>
      <c r="G134" s="93"/>
      <c r="H134" s="93"/>
      <c r="I134" s="93"/>
      <c r="J134" s="31">
        <f>SUM(J130:J133)</f>
        <v>725.6999999999999</v>
      </c>
      <c r="K134" s="31">
        <f aca="true" t="shared" si="23" ref="K134:Q134">SUM(K130:K133)</f>
        <v>511.87</v>
      </c>
      <c r="L134" s="31">
        <f t="shared" si="23"/>
        <v>18.5</v>
      </c>
      <c r="M134" s="31">
        <f t="shared" si="23"/>
        <v>1219.0699999999997</v>
      </c>
      <c r="N134" s="31">
        <f t="shared" si="23"/>
        <v>91.44249999999998</v>
      </c>
      <c r="O134" s="31">
        <f t="shared" si="23"/>
        <v>91.44249999999998</v>
      </c>
      <c r="P134" s="31">
        <f t="shared" si="23"/>
        <v>0</v>
      </c>
      <c r="Q134" s="31">
        <f t="shared" si="23"/>
        <v>0</v>
      </c>
      <c r="R134" s="93"/>
    </row>
    <row r="135" spans="1:18" ht="12.75">
      <c r="A135" s="22" t="s">
        <v>284</v>
      </c>
      <c r="B135" s="64"/>
      <c r="C135" s="7"/>
      <c r="D135" s="7"/>
      <c r="E135" s="7"/>
      <c r="F135" s="7"/>
      <c r="G135" s="7"/>
      <c r="H135" s="7"/>
      <c r="I135" s="7"/>
      <c r="J135" s="7"/>
      <c r="K135" s="7"/>
      <c r="L135" s="7"/>
      <c r="M135" s="7"/>
      <c r="N135" s="7"/>
      <c r="O135" s="7"/>
      <c r="P135" s="7"/>
      <c r="Q135" s="7"/>
      <c r="R135" s="7"/>
    </row>
    <row r="136" spans="1:18" ht="12.75">
      <c r="A136" s="7"/>
      <c r="B136" s="92">
        <v>52.501</v>
      </c>
      <c r="C136" s="7" t="s">
        <v>308</v>
      </c>
      <c r="D136" s="7"/>
      <c r="E136" s="7"/>
      <c r="F136" s="7"/>
      <c r="G136" s="7"/>
      <c r="H136" s="7"/>
      <c r="I136" s="7"/>
      <c r="J136" s="13">
        <f>+M65</f>
        <v>0</v>
      </c>
      <c r="K136" s="7"/>
      <c r="L136" s="7"/>
      <c r="M136" s="13">
        <f>+J136+K136-L136</f>
        <v>0</v>
      </c>
      <c r="N136" s="40">
        <f>(+J136+M136)/2*12.5/100</f>
        <v>0</v>
      </c>
      <c r="O136" s="13">
        <f>+N136</f>
        <v>0</v>
      </c>
      <c r="P136" s="13">
        <v>0</v>
      </c>
      <c r="Q136" s="13">
        <v>0</v>
      </c>
      <c r="R136" s="7"/>
    </row>
    <row r="137" spans="1:18" ht="12.75">
      <c r="A137" s="7"/>
      <c r="B137" s="92">
        <v>53.61</v>
      </c>
      <c r="C137" s="7" t="s">
        <v>309</v>
      </c>
      <c r="D137" s="7"/>
      <c r="E137" s="7"/>
      <c r="F137" s="7"/>
      <c r="G137" s="7"/>
      <c r="H137" s="7"/>
      <c r="I137" s="7"/>
      <c r="J137" s="13">
        <f>+M66</f>
        <v>0</v>
      </c>
      <c r="K137" s="7"/>
      <c r="L137" s="7"/>
      <c r="M137" s="13">
        <f>+J137+K137-L137</f>
        <v>0</v>
      </c>
      <c r="N137" s="40">
        <f>(+J137+M137)/2*12.5/100</f>
        <v>0</v>
      </c>
      <c r="O137" s="13">
        <f>+N137</f>
        <v>0</v>
      </c>
      <c r="P137" s="13">
        <v>0</v>
      </c>
      <c r="Q137" s="13">
        <v>0</v>
      </c>
      <c r="R137" s="7"/>
    </row>
    <row r="138" spans="1:18" ht="12.75">
      <c r="A138" s="7"/>
      <c r="B138" s="92"/>
      <c r="C138" s="7" t="s">
        <v>409</v>
      </c>
      <c r="D138" s="7"/>
      <c r="E138" s="7"/>
      <c r="F138" s="7"/>
      <c r="G138" s="7"/>
      <c r="H138" s="7"/>
      <c r="I138" s="7"/>
      <c r="J138" s="13"/>
      <c r="K138" s="7"/>
      <c r="L138" s="7"/>
      <c r="M138" s="13">
        <f>+J138+K138-L138</f>
        <v>0</v>
      </c>
      <c r="N138" s="40">
        <f>(+J138+M138)/2*12.5/100</f>
        <v>0</v>
      </c>
      <c r="O138" s="13">
        <f>+N138</f>
        <v>0</v>
      </c>
      <c r="P138" s="13">
        <v>0</v>
      </c>
      <c r="Q138" s="13">
        <v>0</v>
      </c>
      <c r="R138" s="7"/>
    </row>
    <row r="139" spans="1:18" ht="12.75">
      <c r="A139" s="93"/>
      <c r="B139" s="94"/>
      <c r="C139" s="93"/>
      <c r="D139" s="93"/>
      <c r="E139" s="93"/>
      <c r="F139" s="93"/>
      <c r="G139" s="93"/>
      <c r="H139" s="93"/>
      <c r="I139" s="93"/>
      <c r="J139" s="31">
        <f>SUM(J136:J138)</f>
        <v>0</v>
      </c>
      <c r="K139" s="31">
        <f aca="true" t="shared" si="24" ref="K139:Q139">SUM(K136:K138)</f>
        <v>0</v>
      </c>
      <c r="L139" s="31">
        <f t="shared" si="24"/>
        <v>0</v>
      </c>
      <c r="M139" s="31">
        <f t="shared" si="24"/>
        <v>0</v>
      </c>
      <c r="N139" s="31">
        <f t="shared" si="24"/>
        <v>0</v>
      </c>
      <c r="O139" s="31">
        <f t="shared" si="24"/>
        <v>0</v>
      </c>
      <c r="P139" s="31">
        <f t="shared" si="24"/>
        <v>0</v>
      </c>
      <c r="Q139" s="31">
        <f t="shared" si="24"/>
        <v>0</v>
      </c>
      <c r="R139" s="93"/>
    </row>
    <row r="140" spans="1:18" ht="12.75">
      <c r="A140" s="30"/>
      <c r="B140" s="95"/>
      <c r="C140" s="30"/>
      <c r="D140" s="30"/>
      <c r="E140" s="30"/>
      <c r="F140" s="30"/>
      <c r="G140" s="30"/>
      <c r="H140" s="30"/>
      <c r="I140" s="30"/>
      <c r="J140" s="31">
        <f aca="true" t="shared" si="25" ref="J140:Q140">+J124+J128+J134+J139</f>
        <v>725.6999999999999</v>
      </c>
      <c r="K140" s="31">
        <f t="shared" si="25"/>
        <v>511.87</v>
      </c>
      <c r="L140" s="31">
        <f t="shared" si="25"/>
        <v>18.5</v>
      </c>
      <c r="M140" s="31">
        <f t="shared" si="25"/>
        <v>1219.0699999999997</v>
      </c>
      <c r="N140" s="31">
        <f t="shared" si="25"/>
        <v>91.44249999999998</v>
      </c>
      <c r="O140" s="31">
        <f t="shared" si="25"/>
        <v>91.44249999999998</v>
      </c>
      <c r="P140" s="31">
        <f t="shared" si="25"/>
        <v>0</v>
      </c>
      <c r="Q140" s="31">
        <f t="shared" si="25"/>
        <v>0</v>
      </c>
      <c r="R140" s="30"/>
    </row>
    <row r="141" spans="1:18" ht="12.75">
      <c r="A141" s="30"/>
      <c r="B141" s="95"/>
      <c r="C141" s="30"/>
      <c r="D141" s="30"/>
      <c r="E141" s="30"/>
      <c r="F141" s="30"/>
      <c r="G141" s="30"/>
      <c r="H141" s="30"/>
      <c r="I141" s="30"/>
      <c r="J141" s="31">
        <f aca="true" t="shared" si="26" ref="J141:Q141">+J117+J140</f>
        <v>5598.878999999999</v>
      </c>
      <c r="K141" s="31">
        <f t="shared" si="26"/>
        <v>1252.6799999999998</v>
      </c>
      <c r="L141" s="31">
        <f t="shared" si="26"/>
        <v>552.42</v>
      </c>
      <c r="M141" s="31">
        <f t="shared" si="26"/>
        <v>6299.139</v>
      </c>
      <c r="N141" s="31">
        <f t="shared" si="26"/>
        <v>638.87114</v>
      </c>
      <c r="O141" s="31">
        <f t="shared" si="26"/>
        <v>638.87114</v>
      </c>
      <c r="P141" s="31">
        <f t="shared" si="26"/>
        <v>0</v>
      </c>
      <c r="Q141" s="31">
        <f t="shared" si="26"/>
        <v>0</v>
      </c>
      <c r="R141" s="31"/>
    </row>
    <row r="142" ht="12.75">
      <c r="L142">
        <v>14.92</v>
      </c>
    </row>
    <row r="143" spans="10:13" ht="12.75">
      <c r="J143" s="15" t="s">
        <v>516</v>
      </c>
      <c r="M143">
        <v>1177</v>
      </c>
    </row>
    <row r="144" spans="10:13" ht="12.75">
      <c r="J144" s="15" t="s">
        <v>517</v>
      </c>
      <c r="M144" s="20">
        <f>M141-M143</f>
        <v>5122.139</v>
      </c>
    </row>
    <row r="147" spans="1:18" ht="12.75">
      <c r="A147" s="316" t="s">
        <v>477</v>
      </c>
      <c r="B147" s="90"/>
      <c r="C147" s="10"/>
      <c r="D147" s="9"/>
      <c r="E147" s="10"/>
      <c r="F147" s="10"/>
      <c r="G147" s="10"/>
      <c r="H147" s="10"/>
      <c r="I147" s="91"/>
      <c r="J147" s="10"/>
      <c r="K147" s="10"/>
      <c r="L147" s="10"/>
      <c r="M147" s="10"/>
      <c r="N147" s="10"/>
      <c r="O147" s="10"/>
      <c r="P147" s="10"/>
      <c r="Q147" s="62" t="s">
        <v>251</v>
      </c>
      <c r="R147" s="10"/>
    </row>
    <row r="148" spans="1:18" ht="56.25">
      <c r="A148" s="270" t="s">
        <v>252</v>
      </c>
      <c r="B148" s="270" t="s">
        <v>278</v>
      </c>
      <c r="C148" s="270" t="s">
        <v>311</v>
      </c>
      <c r="D148" s="270" t="s">
        <v>279</v>
      </c>
      <c r="E148" s="270" t="s">
        <v>255</v>
      </c>
      <c r="F148" s="270" t="s">
        <v>280</v>
      </c>
      <c r="G148" s="270" t="s">
        <v>261</v>
      </c>
      <c r="H148" s="270" t="s">
        <v>310</v>
      </c>
      <c r="I148" s="271" t="s">
        <v>262</v>
      </c>
      <c r="J148" s="270" t="s">
        <v>263</v>
      </c>
      <c r="K148" s="270" t="s">
        <v>264</v>
      </c>
      <c r="L148" s="270" t="s">
        <v>265</v>
      </c>
      <c r="M148" s="270" t="s">
        <v>266</v>
      </c>
      <c r="N148" s="270" t="s">
        <v>267</v>
      </c>
      <c r="O148" s="270" t="s">
        <v>268</v>
      </c>
      <c r="P148" s="270" t="s">
        <v>269</v>
      </c>
      <c r="Q148" s="270" t="s">
        <v>270</v>
      </c>
      <c r="R148" s="270" t="s">
        <v>107</v>
      </c>
    </row>
    <row r="149" spans="1:18" ht="15.75">
      <c r="A149" s="102" t="s">
        <v>288</v>
      </c>
      <c r="B149" s="64"/>
      <c r="C149" s="7"/>
      <c r="D149" s="7"/>
      <c r="E149" s="7"/>
      <c r="F149" s="7"/>
      <c r="G149" s="7"/>
      <c r="H149" s="7"/>
      <c r="I149" s="7"/>
      <c r="J149" s="8"/>
      <c r="K149" s="8"/>
      <c r="L149" s="8"/>
      <c r="M149" s="8"/>
      <c r="N149" s="8"/>
      <c r="O149" s="8"/>
      <c r="P149" s="8"/>
      <c r="Q149" s="8"/>
      <c r="R149" s="7"/>
    </row>
    <row r="150" spans="1:18" ht="12.75">
      <c r="A150" s="22" t="s">
        <v>281</v>
      </c>
      <c r="B150" s="64"/>
      <c r="C150" s="7"/>
      <c r="D150" s="7"/>
      <c r="E150" s="7"/>
      <c r="F150" s="7"/>
      <c r="G150" s="7"/>
      <c r="H150" s="7"/>
      <c r="I150" s="7"/>
      <c r="J150" s="8"/>
      <c r="K150" s="8"/>
      <c r="L150" s="8"/>
      <c r="M150" s="8"/>
      <c r="N150" s="8"/>
      <c r="O150" s="8"/>
      <c r="P150" s="8"/>
      <c r="Q150" s="8"/>
      <c r="R150" s="7"/>
    </row>
    <row r="151" spans="1:18" ht="12.75">
      <c r="A151" s="7"/>
      <c r="B151" s="64"/>
      <c r="C151" s="7" t="s">
        <v>410</v>
      </c>
      <c r="D151" s="7"/>
      <c r="E151" s="7"/>
      <c r="F151" s="7"/>
      <c r="G151" s="7"/>
      <c r="H151" s="7"/>
      <c r="I151" s="7"/>
      <c r="J151" s="13">
        <f>+M78</f>
        <v>0</v>
      </c>
      <c r="K151" s="7"/>
      <c r="L151" s="7"/>
      <c r="M151" s="13">
        <f>+J151+K151-L151</f>
        <v>0</v>
      </c>
      <c r="N151" s="40">
        <f>(+J151+M151)/2*12.5/100</f>
        <v>0</v>
      </c>
      <c r="O151" s="13">
        <f>+N151</f>
        <v>0</v>
      </c>
      <c r="P151" s="13">
        <v>0</v>
      </c>
      <c r="Q151" s="13">
        <v>0</v>
      </c>
      <c r="R151" s="7"/>
    </row>
    <row r="152" spans="1:18" ht="12.75">
      <c r="A152" s="7"/>
      <c r="B152" s="64"/>
      <c r="C152" s="7"/>
      <c r="D152" s="7"/>
      <c r="E152" s="7"/>
      <c r="F152" s="7"/>
      <c r="G152" s="7"/>
      <c r="H152" s="7"/>
      <c r="I152" s="7"/>
      <c r="J152" s="13">
        <f>+M79</f>
        <v>0</v>
      </c>
      <c r="K152" s="7"/>
      <c r="L152" s="7"/>
      <c r="M152" s="13">
        <f>+J152+K152-L152</f>
        <v>0</v>
      </c>
      <c r="N152" s="40">
        <f>(+J152+M152)/2*12.5/100</f>
        <v>0</v>
      </c>
      <c r="O152" s="13">
        <f>+N152</f>
        <v>0</v>
      </c>
      <c r="P152" s="13">
        <v>0</v>
      </c>
      <c r="Q152" s="13">
        <v>0</v>
      </c>
      <c r="R152" s="7"/>
    </row>
    <row r="153" spans="1:18" ht="12.75">
      <c r="A153" s="93"/>
      <c r="B153" s="94"/>
      <c r="C153" s="93"/>
      <c r="D153" s="93"/>
      <c r="E153" s="93"/>
      <c r="F153" s="93"/>
      <c r="G153" s="93"/>
      <c r="H153" s="93"/>
      <c r="I153" s="93"/>
      <c r="J153" s="31">
        <f aca="true" t="shared" si="27" ref="J153:Q153">+J151+J152</f>
        <v>0</v>
      </c>
      <c r="K153" s="31">
        <f t="shared" si="27"/>
        <v>0</v>
      </c>
      <c r="L153" s="31">
        <f t="shared" si="27"/>
        <v>0</v>
      </c>
      <c r="M153" s="31">
        <f t="shared" si="27"/>
        <v>0</v>
      </c>
      <c r="N153" s="31">
        <f t="shared" si="27"/>
        <v>0</v>
      </c>
      <c r="O153" s="31">
        <f t="shared" si="27"/>
        <v>0</v>
      </c>
      <c r="P153" s="31">
        <f t="shared" si="27"/>
        <v>0</v>
      </c>
      <c r="Q153" s="31">
        <f t="shared" si="27"/>
        <v>0</v>
      </c>
      <c r="R153" s="93"/>
    </row>
    <row r="154" spans="1:18" ht="12.75">
      <c r="A154" s="22" t="s">
        <v>282</v>
      </c>
      <c r="B154" s="64"/>
      <c r="C154" s="7"/>
      <c r="D154" s="7"/>
      <c r="E154" s="7"/>
      <c r="F154" s="7"/>
      <c r="G154" s="7"/>
      <c r="H154" s="7"/>
      <c r="I154" s="7"/>
      <c r="J154" s="8"/>
      <c r="K154" s="8"/>
      <c r="L154" s="8"/>
      <c r="M154" s="8"/>
      <c r="N154" s="8"/>
      <c r="O154" s="8"/>
      <c r="P154" s="8"/>
      <c r="Q154" s="8"/>
      <c r="R154" s="7"/>
    </row>
    <row r="155" spans="1:18" ht="12.75">
      <c r="A155" s="7"/>
      <c r="B155" s="64"/>
      <c r="C155" s="7"/>
      <c r="D155" s="7"/>
      <c r="E155" s="7"/>
      <c r="F155" s="7"/>
      <c r="G155" s="7"/>
      <c r="H155" s="7"/>
      <c r="I155" s="7"/>
      <c r="J155" s="13">
        <f>+M82</f>
        <v>0</v>
      </c>
      <c r="K155" s="7"/>
      <c r="L155" s="7"/>
      <c r="M155" s="13">
        <f>+J155+K155-L155</f>
        <v>0</v>
      </c>
      <c r="N155" s="40">
        <f>(+J155+M155)/2*12.5/100</f>
        <v>0</v>
      </c>
      <c r="O155" s="13">
        <f>+N155</f>
        <v>0</v>
      </c>
      <c r="P155" s="13">
        <v>0</v>
      </c>
      <c r="Q155" s="13">
        <v>0</v>
      </c>
      <c r="R155" s="7"/>
    </row>
    <row r="156" spans="1:18" ht="12.75">
      <c r="A156" s="7"/>
      <c r="B156" s="64"/>
      <c r="C156" s="7"/>
      <c r="D156" s="7"/>
      <c r="E156" s="7"/>
      <c r="F156" s="7"/>
      <c r="G156" s="7"/>
      <c r="H156" s="7"/>
      <c r="I156" s="7"/>
      <c r="J156" s="13">
        <f>+M83</f>
        <v>0</v>
      </c>
      <c r="K156" s="7"/>
      <c r="L156" s="7"/>
      <c r="M156" s="13">
        <f>+J156+K156-L156</f>
        <v>0</v>
      </c>
      <c r="N156" s="40">
        <f>(+J156+M156)/2*12.5/100</f>
        <v>0</v>
      </c>
      <c r="O156" s="13">
        <f>+N156</f>
        <v>0</v>
      </c>
      <c r="P156" s="13">
        <v>0</v>
      </c>
      <c r="Q156" s="13">
        <v>0</v>
      </c>
      <c r="R156" s="7"/>
    </row>
    <row r="157" spans="1:18" ht="12.75">
      <c r="A157" s="93"/>
      <c r="B157" s="94"/>
      <c r="C157" s="93"/>
      <c r="D157" s="93"/>
      <c r="E157" s="93"/>
      <c r="F157" s="93"/>
      <c r="G157" s="93"/>
      <c r="H157" s="93"/>
      <c r="I157" s="93"/>
      <c r="J157" s="31">
        <f aca="true" t="shared" si="28" ref="J157:Q157">+J155+J156</f>
        <v>0</v>
      </c>
      <c r="K157" s="31">
        <f t="shared" si="28"/>
        <v>0</v>
      </c>
      <c r="L157" s="31">
        <f t="shared" si="28"/>
        <v>0</v>
      </c>
      <c r="M157" s="31">
        <f t="shared" si="28"/>
        <v>0</v>
      </c>
      <c r="N157" s="31">
        <f t="shared" si="28"/>
        <v>0</v>
      </c>
      <c r="O157" s="31">
        <f t="shared" si="28"/>
        <v>0</v>
      </c>
      <c r="P157" s="31">
        <f t="shared" si="28"/>
        <v>0</v>
      </c>
      <c r="Q157" s="31">
        <f t="shared" si="28"/>
        <v>0</v>
      </c>
      <c r="R157" s="93"/>
    </row>
    <row r="158" spans="1:18" ht="12.75">
      <c r="A158" s="22" t="s">
        <v>283</v>
      </c>
      <c r="B158" s="64"/>
      <c r="C158" s="7"/>
      <c r="D158" s="7"/>
      <c r="E158" s="7"/>
      <c r="F158" s="7"/>
      <c r="G158" s="7"/>
      <c r="H158" s="7"/>
      <c r="I158" s="7"/>
      <c r="J158" s="8"/>
      <c r="K158" s="8"/>
      <c r="L158" s="8"/>
      <c r="M158" s="8"/>
      <c r="N158" s="8"/>
      <c r="O158" s="8"/>
      <c r="P158" s="8"/>
      <c r="Q158" s="8"/>
      <c r="R158" s="7"/>
    </row>
    <row r="159" spans="1:18" ht="12.75">
      <c r="A159" s="7"/>
      <c r="B159" s="64"/>
      <c r="C159" s="7"/>
      <c r="D159" s="7"/>
      <c r="E159" s="7"/>
      <c r="F159" s="7"/>
      <c r="G159" s="7"/>
      <c r="H159" s="7"/>
      <c r="I159" s="7"/>
      <c r="J159" s="13">
        <f>+M86</f>
        <v>0</v>
      </c>
      <c r="K159" s="7"/>
      <c r="L159" s="7"/>
      <c r="M159" s="13">
        <f>+J159+K159-L159</f>
        <v>0</v>
      </c>
      <c r="N159" s="40">
        <f>(+J159+M159)/2*12.5/100</f>
        <v>0</v>
      </c>
      <c r="O159" s="13">
        <f>+N159</f>
        <v>0</v>
      </c>
      <c r="P159" s="13">
        <v>0</v>
      </c>
      <c r="Q159" s="13">
        <v>0</v>
      </c>
      <c r="R159" s="7"/>
    </row>
    <row r="160" spans="1:18" ht="12.75">
      <c r="A160" s="7"/>
      <c r="B160" s="64"/>
      <c r="C160" s="7"/>
      <c r="D160" s="7"/>
      <c r="E160" s="7"/>
      <c r="F160" s="7"/>
      <c r="G160" s="7"/>
      <c r="H160" s="7"/>
      <c r="I160" s="7"/>
      <c r="J160" s="13">
        <f>+M87</f>
        <v>0</v>
      </c>
      <c r="K160" s="7"/>
      <c r="L160" s="7"/>
      <c r="M160" s="13">
        <f>+J160+K160-L160</f>
        <v>0</v>
      </c>
      <c r="N160" s="40">
        <f>(+J160+M160)/2*12.5/100</f>
        <v>0</v>
      </c>
      <c r="O160" s="13">
        <f>+N160</f>
        <v>0</v>
      </c>
      <c r="P160" s="13">
        <v>0</v>
      </c>
      <c r="Q160" s="13">
        <v>0</v>
      </c>
      <c r="R160" s="7"/>
    </row>
    <row r="161" spans="1:18" ht="12.75">
      <c r="A161" s="93"/>
      <c r="B161" s="94"/>
      <c r="C161" s="93"/>
      <c r="D161" s="93"/>
      <c r="E161" s="93"/>
      <c r="F161" s="93"/>
      <c r="G161" s="93"/>
      <c r="H161" s="93"/>
      <c r="I161" s="93"/>
      <c r="J161" s="31">
        <f aca="true" t="shared" si="29" ref="J161:Q161">+J159+J160</f>
        <v>0</v>
      </c>
      <c r="K161" s="31">
        <f t="shared" si="29"/>
        <v>0</v>
      </c>
      <c r="L161" s="31">
        <f t="shared" si="29"/>
        <v>0</v>
      </c>
      <c r="M161" s="31">
        <f t="shared" si="29"/>
        <v>0</v>
      </c>
      <c r="N161" s="31">
        <f t="shared" si="29"/>
        <v>0</v>
      </c>
      <c r="O161" s="31">
        <f t="shared" si="29"/>
        <v>0</v>
      </c>
      <c r="P161" s="31">
        <f t="shared" si="29"/>
        <v>0</v>
      </c>
      <c r="Q161" s="31">
        <f t="shared" si="29"/>
        <v>0</v>
      </c>
      <c r="R161" s="93"/>
    </row>
    <row r="162" spans="1:18" ht="12.75">
      <c r="A162" s="22" t="s">
        <v>284</v>
      </c>
      <c r="B162" s="64"/>
      <c r="C162" s="7"/>
      <c r="D162" s="7"/>
      <c r="E162" s="7"/>
      <c r="F162" s="7"/>
      <c r="G162" s="7"/>
      <c r="H162" s="7"/>
      <c r="I162" s="7"/>
      <c r="J162" s="7"/>
      <c r="K162" s="7"/>
      <c r="L162" s="7"/>
      <c r="M162" s="7"/>
      <c r="N162" s="7"/>
      <c r="O162" s="7"/>
      <c r="P162" s="7"/>
      <c r="Q162" s="7"/>
      <c r="R162" s="7"/>
    </row>
    <row r="163" spans="1:18" ht="12.75">
      <c r="A163" s="7"/>
      <c r="B163" s="92">
        <v>53.301</v>
      </c>
      <c r="C163" s="7" t="s">
        <v>285</v>
      </c>
      <c r="D163" s="7"/>
      <c r="E163" s="7"/>
      <c r="F163" s="7"/>
      <c r="G163" s="7"/>
      <c r="H163" s="7"/>
      <c r="I163" s="7"/>
      <c r="J163" s="13">
        <f aca="true" t="shared" si="30" ref="J163:J188">+M90</f>
        <v>4069.9700000000003</v>
      </c>
      <c r="K163" s="294">
        <v>1715.11</v>
      </c>
      <c r="L163" s="7">
        <v>484.39</v>
      </c>
      <c r="M163" s="13">
        <f aca="true" t="shared" si="31" ref="M163:M184">+J163+K163-L163</f>
        <v>5300.69</v>
      </c>
      <c r="N163" s="40">
        <f>(+J163+M163)/2*11/100</f>
        <v>515.3863</v>
      </c>
      <c r="O163" s="13">
        <f aca="true" t="shared" si="32" ref="O163:O188">+N163</f>
        <v>515.3863</v>
      </c>
      <c r="P163" s="13">
        <v>0</v>
      </c>
      <c r="Q163" s="13">
        <v>0</v>
      </c>
      <c r="R163" s="7"/>
    </row>
    <row r="164" spans="1:18" ht="12.75">
      <c r="A164" s="7"/>
      <c r="B164" s="92">
        <v>53.71</v>
      </c>
      <c r="C164" s="7" t="s">
        <v>286</v>
      </c>
      <c r="D164" s="7"/>
      <c r="E164" s="7"/>
      <c r="F164" s="7"/>
      <c r="G164" s="7"/>
      <c r="H164" s="7"/>
      <c r="I164" s="7"/>
      <c r="J164" s="13">
        <f t="shared" si="30"/>
        <v>485.37999999999977</v>
      </c>
      <c r="K164" s="294">
        <v>61.38</v>
      </c>
      <c r="L164" s="7">
        <v>58.73</v>
      </c>
      <c r="M164" s="13">
        <f t="shared" si="31"/>
        <v>488.02999999999975</v>
      </c>
      <c r="N164" s="40">
        <f aca="true" t="shared" si="33" ref="N164:N188">(+J164+M164)/2*11/100</f>
        <v>53.537549999999975</v>
      </c>
      <c r="O164" s="13">
        <f t="shared" si="32"/>
        <v>53.537549999999975</v>
      </c>
      <c r="P164" s="13">
        <v>0</v>
      </c>
      <c r="Q164" s="13">
        <v>0</v>
      </c>
      <c r="R164" s="7"/>
    </row>
    <row r="165" spans="1:18" ht="12.75">
      <c r="A165" s="7"/>
      <c r="B165" s="64">
        <v>53.722</v>
      </c>
      <c r="C165" s="7" t="s">
        <v>290</v>
      </c>
      <c r="D165" s="7"/>
      <c r="E165" s="7"/>
      <c r="F165" s="7"/>
      <c r="G165" s="7"/>
      <c r="H165" s="7"/>
      <c r="I165" s="7"/>
      <c r="J165" s="13">
        <f t="shared" si="30"/>
        <v>-0.009999999999997122</v>
      </c>
      <c r="K165" s="294"/>
      <c r="L165" s="7"/>
      <c r="M165" s="13">
        <f t="shared" si="31"/>
        <v>-0.009999999999997122</v>
      </c>
      <c r="N165" s="40">
        <f t="shared" si="33"/>
        <v>-0.0010999999999996835</v>
      </c>
      <c r="O165" s="13">
        <f t="shared" si="32"/>
        <v>-0.0010999999999996835</v>
      </c>
      <c r="P165" s="13">
        <v>0</v>
      </c>
      <c r="Q165" s="13">
        <v>0</v>
      </c>
      <c r="R165" s="7"/>
    </row>
    <row r="166" spans="1:18" ht="12.75">
      <c r="A166" s="7"/>
      <c r="B166" s="64">
        <v>53.723</v>
      </c>
      <c r="C166" s="7" t="s">
        <v>291</v>
      </c>
      <c r="D166" s="7"/>
      <c r="E166" s="7"/>
      <c r="F166" s="7"/>
      <c r="G166" s="7"/>
      <c r="H166" s="7"/>
      <c r="I166" s="7"/>
      <c r="J166" s="13">
        <f t="shared" si="30"/>
        <v>0</v>
      </c>
      <c r="K166" s="294"/>
      <c r="L166" s="13"/>
      <c r="M166" s="13">
        <f t="shared" si="31"/>
        <v>0</v>
      </c>
      <c r="N166" s="40">
        <f t="shared" si="33"/>
        <v>0</v>
      </c>
      <c r="O166" s="13">
        <f t="shared" si="32"/>
        <v>0</v>
      </c>
      <c r="P166" s="13">
        <v>0</v>
      </c>
      <c r="Q166" s="13">
        <v>0</v>
      </c>
      <c r="R166" s="7"/>
    </row>
    <row r="167" spans="1:18" ht="12.75">
      <c r="A167" s="7"/>
      <c r="B167" s="92">
        <v>53.765</v>
      </c>
      <c r="C167" s="7" t="s">
        <v>292</v>
      </c>
      <c r="D167" s="7"/>
      <c r="E167" s="7"/>
      <c r="F167" s="7"/>
      <c r="G167" s="7"/>
      <c r="H167" s="7"/>
      <c r="I167" s="7"/>
      <c r="J167" s="13">
        <f t="shared" si="30"/>
        <v>40.470000000000006</v>
      </c>
      <c r="K167" s="294"/>
      <c r="L167" s="7"/>
      <c r="M167" s="13">
        <f t="shared" si="31"/>
        <v>40.470000000000006</v>
      </c>
      <c r="N167" s="40">
        <f t="shared" si="33"/>
        <v>4.451700000000001</v>
      </c>
      <c r="O167" s="13">
        <f t="shared" si="32"/>
        <v>4.451700000000001</v>
      </c>
      <c r="P167" s="13">
        <v>0</v>
      </c>
      <c r="Q167" s="13">
        <v>0</v>
      </c>
      <c r="R167" s="7"/>
    </row>
    <row r="168" spans="1:18" ht="12.75">
      <c r="A168" s="7"/>
      <c r="B168" s="92">
        <v>53.73</v>
      </c>
      <c r="C168" s="7" t="s">
        <v>389</v>
      </c>
      <c r="D168" s="7"/>
      <c r="E168" s="7"/>
      <c r="F168" s="7"/>
      <c r="G168" s="7"/>
      <c r="H168" s="7"/>
      <c r="I168" s="7"/>
      <c r="J168" s="13">
        <f t="shared" si="30"/>
        <v>0</v>
      </c>
      <c r="K168" s="294"/>
      <c r="L168" s="7"/>
      <c r="M168" s="13">
        <f t="shared" si="31"/>
        <v>0</v>
      </c>
      <c r="N168" s="40">
        <f t="shared" si="33"/>
        <v>0</v>
      </c>
      <c r="O168" s="13">
        <f t="shared" si="32"/>
        <v>0</v>
      </c>
      <c r="P168" s="13">
        <v>0</v>
      </c>
      <c r="Q168" s="13">
        <v>0</v>
      </c>
      <c r="R168" s="7"/>
    </row>
    <row r="169" spans="1:18" ht="12.75">
      <c r="A169" s="7"/>
      <c r="B169" s="64">
        <v>53.745</v>
      </c>
      <c r="C169" s="7" t="s">
        <v>293</v>
      </c>
      <c r="D169" s="7"/>
      <c r="E169" s="7"/>
      <c r="F169" s="7"/>
      <c r="G169" s="7"/>
      <c r="H169" s="7"/>
      <c r="I169" s="7"/>
      <c r="J169" s="13">
        <f t="shared" si="30"/>
        <v>108.54999999999998</v>
      </c>
      <c r="K169" s="294">
        <v>0</v>
      </c>
      <c r="L169" s="13">
        <v>52.63</v>
      </c>
      <c r="M169" s="13">
        <f t="shared" si="31"/>
        <v>55.91999999999998</v>
      </c>
      <c r="N169" s="40">
        <f t="shared" si="33"/>
        <v>9.045849999999998</v>
      </c>
      <c r="O169" s="13">
        <f t="shared" si="32"/>
        <v>9.045849999999998</v>
      </c>
      <c r="P169" s="13">
        <v>0</v>
      </c>
      <c r="Q169" s="13">
        <v>0</v>
      </c>
      <c r="R169" s="7"/>
    </row>
    <row r="170" spans="1:18" ht="12.75">
      <c r="A170" s="7"/>
      <c r="B170" s="64">
        <v>53.746</v>
      </c>
      <c r="C170" s="7" t="s">
        <v>294</v>
      </c>
      <c r="D170" s="7"/>
      <c r="E170" s="7"/>
      <c r="F170" s="7"/>
      <c r="G170" s="7"/>
      <c r="H170" s="7"/>
      <c r="I170" s="7"/>
      <c r="J170" s="13">
        <f t="shared" si="30"/>
        <v>12.859999999999994</v>
      </c>
      <c r="K170" s="294"/>
      <c r="L170" s="7"/>
      <c r="M170" s="13">
        <f t="shared" si="31"/>
        <v>12.859999999999994</v>
      </c>
      <c r="N170" s="40">
        <f t="shared" si="33"/>
        <v>1.4145999999999992</v>
      </c>
      <c r="O170" s="13">
        <f t="shared" si="32"/>
        <v>1.4145999999999992</v>
      </c>
      <c r="P170" s="13">
        <v>0</v>
      </c>
      <c r="Q170" s="13">
        <v>0</v>
      </c>
      <c r="R170" s="7"/>
    </row>
    <row r="171" spans="1:18" ht="12.75">
      <c r="A171" s="7"/>
      <c r="B171" s="64">
        <v>53.755</v>
      </c>
      <c r="C171" s="7" t="s">
        <v>295</v>
      </c>
      <c r="D171" s="7"/>
      <c r="E171" s="7"/>
      <c r="F171" s="7"/>
      <c r="G171" s="7"/>
      <c r="H171" s="7"/>
      <c r="I171" s="7"/>
      <c r="J171" s="13">
        <f t="shared" si="30"/>
        <v>0</v>
      </c>
      <c r="K171" s="294"/>
      <c r="L171" s="7"/>
      <c r="M171" s="13">
        <f t="shared" si="31"/>
        <v>0</v>
      </c>
      <c r="N171" s="40">
        <f t="shared" si="33"/>
        <v>0</v>
      </c>
      <c r="O171" s="13">
        <f t="shared" si="32"/>
        <v>0</v>
      </c>
      <c r="P171" s="13">
        <v>0</v>
      </c>
      <c r="Q171" s="13">
        <v>0</v>
      </c>
      <c r="R171" s="7"/>
    </row>
    <row r="172" spans="1:18" ht="12.75">
      <c r="A172" s="7"/>
      <c r="B172" s="64">
        <v>53.756</v>
      </c>
      <c r="C172" s="7" t="s">
        <v>296</v>
      </c>
      <c r="D172" s="7"/>
      <c r="E172" s="7"/>
      <c r="F172" s="7"/>
      <c r="G172" s="7"/>
      <c r="H172" s="7"/>
      <c r="I172" s="7"/>
      <c r="J172" s="13">
        <f t="shared" si="30"/>
        <v>0</v>
      </c>
      <c r="K172" s="294"/>
      <c r="L172" s="7"/>
      <c r="M172" s="13">
        <f t="shared" si="31"/>
        <v>0</v>
      </c>
      <c r="N172" s="40">
        <f t="shared" si="33"/>
        <v>0</v>
      </c>
      <c r="O172" s="13">
        <f t="shared" si="32"/>
        <v>0</v>
      </c>
      <c r="P172" s="13">
        <v>0</v>
      </c>
      <c r="Q172" s="13">
        <v>0</v>
      </c>
      <c r="R172" s="7"/>
    </row>
    <row r="173" spans="1:18" ht="12.75">
      <c r="A173" s="7"/>
      <c r="B173" s="64">
        <v>53.764</v>
      </c>
      <c r="C173" s="7" t="s">
        <v>297</v>
      </c>
      <c r="D173" s="7"/>
      <c r="E173" s="7"/>
      <c r="F173" s="7"/>
      <c r="G173" s="7"/>
      <c r="H173" s="7"/>
      <c r="I173" s="7"/>
      <c r="J173" s="13">
        <f t="shared" si="30"/>
        <v>-0.0010000000000047748</v>
      </c>
      <c r="K173" s="294"/>
      <c r="L173" s="7"/>
      <c r="M173" s="13">
        <f t="shared" si="31"/>
        <v>-0.0010000000000047748</v>
      </c>
      <c r="N173" s="40">
        <f t="shared" si="33"/>
        <v>-0.00011000000000052523</v>
      </c>
      <c r="O173" s="13">
        <f t="shared" si="32"/>
        <v>-0.00011000000000052523</v>
      </c>
      <c r="P173" s="13">
        <v>0</v>
      </c>
      <c r="Q173" s="13">
        <v>0</v>
      </c>
      <c r="R173" s="7"/>
    </row>
    <row r="174" spans="1:18" ht="12.75">
      <c r="A174" s="7"/>
      <c r="B174" s="64">
        <v>53.766</v>
      </c>
      <c r="C174" s="7" t="s">
        <v>298</v>
      </c>
      <c r="D174" s="7"/>
      <c r="E174" s="7"/>
      <c r="F174" s="7"/>
      <c r="G174" s="7"/>
      <c r="H174" s="7"/>
      <c r="I174" s="7"/>
      <c r="J174" s="13">
        <f t="shared" si="30"/>
        <v>0</v>
      </c>
      <c r="K174" s="294"/>
      <c r="L174" s="7"/>
      <c r="M174" s="13">
        <f t="shared" si="31"/>
        <v>0</v>
      </c>
      <c r="N174" s="40">
        <f t="shared" si="33"/>
        <v>0</v>
      </c>
      <c r="O174" s="13">
        <f t="shared" si="32"/>
        <v>0</v>
      </c>
      <c r="P174" s="13">
        <v>0</v>
      </c>
      <c r="Q174" s="13">
        <v>0</v>
      </c>
      <c r="R174" s="7"/>
    </row>
    <row r="175" spans="1:18" ht="12.75">
      <c r="A175" s="7"/>
      <c r="B175" s="64">
        <v>53.767</v>
      </c>
      <c r="C175" s="7" t="s">
        <v>299</v>
      </c>
      <c r="D175" s="7"/>
      <c r="E175" s="7"/>
      <c r="F175" s="7"/>
      <c r="G175" s="7"/>
      <c r="H175" s="7"/>
      <c r="I175" s="7"/>
      <c r="J175" s="13">
        <f t="shared" si="30"/>
        <v>0</v>
      </c>
      <c r="K175" s="294"/>
      <c r="L175" s="13"/>
      <c r="M175" s="13">
        <f t="shared" si="31"/>
        <v>0</v>
      </c>
      <c r="N175" s="40">
        <f t="shared" si="33"/>
        <v>0</v>
      </c>
      <c r="O175" s="13">
        <f t="shared" si="32"/>
        <v>0</v>
      </c>
      <c r="P175" s="13">
        <v>0</v>
      </c>
      <c r="Q175" s="13">
        <v>0</v>
      </c>
      <c r="R175" s="7"/>
    </row>
    <row r="176" spans="1:18" ht="12.75">
      <c r="A176" s="7"/>
      <c r="B176" s="64">
        <v>73.768</v>
      </c>
      <c r="C176" s="7" t="s">
        <v>300</v>
      </c>
      <c r="D176" s="7"/>
      <c r="E176" s="7"/>
      <c r="F176" s="7"/>
      <c r="G176" s="7"/>
      <c r="H176" s="7"/>
      <c r="I176" s="7"/>
      <c r="J176" s="13">
        <f t="shared" si="30"/>
        <v>3.885780586188048E-15</v>
      </c>
      <c r="K176" s="294"/>
      <c r="L176" s="7"/>
      <c r="M176" s="13">
        <f t="shared" si="31"/>
        <v>3.885780586188048E-15</v>
      </c>
      <c r="N176" s="40">
        <f t="shared" si="33"/>
        <v>4.274358644806853E-16</v>
      </c>
      <c r="O176" s="13">
        <f t="shared" si="32"/>
        <v>4.274358644806853E-16</v>
      </c>
      <c r="P176" s="13">
        <v>0</v>
      </c>
      <c r="Q176" s="13">
        <v>0</v>
      </c>
      <c r="R176" s="7"/>
    </row>
    <row r="177" spans="1:18" ht="12.75">
      <c r="A177" s="7"/>
      <c r="B177" s="92">
        <v>53.769</v>
      </c>
      <c r="C177" s="7" t="s">
        <v>301</v>
      </c>
      <c r="D177" s="7"/>
      <c r="E177" s="7"/>
      <c r="F177" s="7"/>
      <c r="G177" s="7"/>
      <c r="H177" s="7"/>
      <c r="I177" s="7"/>
      <c r="J177" s="13">
        <f t="shared" si="30"/>
        <v>0</v>
      </c>
      <c r="K177" s="294"/>
      <c r="L177" s="7"/>
      <c r="M177" s="13">
        <f t="shared" si="31"/>
        <v>0</v>
      </c>
      <c r="N177" s="40">
        <f t="shared" si="33"/>
        <v>0</v>
      </c>
      <c r="O177" s="13">
        <f t="shared" si="32"/>
        <v>0</v>
      </c>
      <c r="P177" s="13">
        <v>0</v>
      </c>
      <c r="Q177" s="13">
        <v>0</v>
      </c>
      <c r="R177" s="7"/>
    </row>
    <row r="178" spans="1:18" ht="12.75">
      <c r="A178" s="7"/>
      <c r="B178" s="92">
        <v>53.77</v>
      </c>
      <c r="C178" s="7" t="s">
        <v>302</v>
      </c>
      <c r="D178" s="7"/>
      <c r="E178" s="7"/>
      <c r="F178" s="7"/>
      <c r="G178" s="7"/>
      <c r="H178" s="7"/>
      <c r="I178" s="7"/>
      <c r="J178" s="13">
        <f t="shared" si="30"/>
        <v>0</v>
      </c>
      <c r="K178" s="294"/>
      <c r="L178" s="7"/>
      <c r="M178" s="13">
        <f t="shared" si="31"/>
        <v>0</v>
      </c>
      <c r="N178" s="40">
        <f t="shared" si="33"/>
        <v>0</v>
      </c>
      <c r="O178" s="13">
        <f t="shared" si="32"/>
        <v>0</v>
      </c>
      <c r="P178" s="13">
        <v>0</v>
      </c>
      <c r="Q178" s="13">
        <v>0</v>
      </c>
      <c r="R178" s="7"/>
    </row>
    <row r="179" spans="1:18" ht="12.75">
      <c r="A179" s="7"/>
      <c r="B179" s="64">
        <v>53.771</v>
      </c>
      <c r="C179" s="7" t="s">
        <v>303</v>
      </c>
      <c r="D179" s="7"/>
      <c r="E179" s="7"/>
      <c r="F179" s="7"/>
      <c r="G179" s="7"/>
      <c r="H179" s="7"/>
      <c r="I179" s="7"/>
      <c r="J179" s="13">
        <f t="shared" si="30"/>
        <v>0</v>
      </c>
      <c r="K179" s="294"/>
      <c r="L179" s="7"/>
      <c r="M179" s="13">
        <f t="shared" si="31"/>
        <v>0</v>
      </c>
      <c r="N179" s="40">
        <f t="shared" si="33"/>
        <v>0</v>
      </c>
      <c r="O179" s="13">
        <f t="shared" si="32"/>
        <v>0</v>
      </c>
      <c r="P179" s="13">
        <v>0</v>
      </c>
      <c r="Q179" s="13">
        <v>0</v>
      </c>
      <c r="R179" s="7"/>
    </row>
    <row r="180" spans="1:18" ht="12.75">
      <c r="A180" s="7"/>
      <c r="B180" s="64">
        <v>53.774</v>
      </c>
      <c r="C180" s="7" t="s">
        <v>304</v>
      </c>
      <c r="D180" s="7"/>
      <c r="E180" s="7"/>
      <c r="F180" s="7"/>
      <c r="G180" s="7"/>
      <c r="H180" s="7"/>
      <c r="I180" s="7"/>
      <c r="J180" s="13">
        <f t="shared" si="30"/>
        <v>0</v>
      </c>
      <c r="K180" s="294"/>
      <c r="L180" s="13"/>
      <c r="M180" s="13">
        <f t="shared" si="31"/>
        <v>0</v>
      </c>
      <c r="N180" s="40">
        <f t="shared" si="33"/>
        <v>0</v>
      </c>
      <c r="O180" s="13">
        <f t="shared" si="32"/>
        <v>0</v>
      </c>
      <c r="P180" s="13">
        <v>0</v>
      </c>
      <c r="Q180" s="13">
        <v>0</v>
      </c>
      <c r="R180" s="7"/>
    </row>
    <row r="181" spans="1:18" ht="12.75">
      <c r="A181" s="7"/>
      <c r="B181" s="64">
        <v>53.775</v>
      </c>
      <c r="C181" s="7" t="s">
        <v>305</v>
      </c>
      <c r="D181" s="7"/>
      <c r="E181" s="7"/>
      <c r="F181" s="7"/>
      <c r="G181" s="7"/>
      <c r="H181" s="7"/>
      <c r="I181" s="7"/>
      <c r="J181" s="13">
        <f t="shared" si="30"/>
        <v>0</v>
      </c>
      <c r="K181" s="294"/>
      <c r="L181" s="7"/>
      <c r="M181" s="13">
        <f t="shared" si="31"/>
        <v>0</v>
      </c>
      <c r="N181" s="40">
        <f t="shared" si="33"/>
        <v>0</v>
      </c>
      <c r="O181" s="13">
        <f t="shared" si="32"/>
        <v>0</v>
      </c>
      <c r="P181" s="13">
        <v>0</v>
      </c>
      <c r="Q181" s="13">
        <v>0</v>
      </c>
      <c r="R181" s="7"/>
    </row>
    <row r="182" spans="1:18" ht="12.75">
      <c r="A182" s="7"/>
      <c r="B182" s="64">
        <v>53.531</v>
      </c>
      <c r="C182" s="7" t="s">
        <v>306</v>
      </c>
      <c r="D182" s="7"/>
      <c r="E182" s="7"/>
      <c r="F182" s="7"/>
      <c r="G182" s="7"/>
      <c r="H182" s="7"/>
      <c r="I182" s="7"/>
      <c r="J182" s="13">
        <f t="shared" si="30"/>
        <v>99.56000000000002</v>
      </c>
      <c r="K182" s="294">
        <v>43.47</v>
      </c>
      <c r="L182" s="7">
        <v>12.25</v>
      </c>
      <c r="M182" s="13">
        <f t="shared" si="31"/>
        <v>130.78000000000003</v>
      </c>
      <c r="N182" s="40">
        <f t="shared" si="33"/>
        <v>12.668700000000001</v>
      </c>
      <c r="O182" s="13">
        <f t="shared" si="32"/>
        <v>12.668700000000001</v>
      </c>
      <c r="P182" s="13">
        <v>0</v>
      </c>
      <c r="Q182" s="13">
        <v>0</v>
      </c>
      <c r="R182" s="7"/>
    </row>
    <row r="183" spans="1:18" ht="12.75">
      <c r="A183" s="7"/>
      <c r="B183" s="64">
        <v>53.776</v>
      </c>
      <c r="C183" s="7" t="s">
        <v>307</v>
      </c>
      <c r="D183" s="7"/>
      <c r="E183" s="7"/>
      <c r="F183" s="7"/>
      <c r="G183" s="7"/>
      <c r="H183" s="7"/>
      <c r="I183" s="7"/>
      <c r="J183" s="13">
        <f t="shared" si="30"/>
        <v>0</v>
      </c>
      <c r="K183" s="294"/>
      <c r="L183" s="7"/>
      <c r="M183" s="13">
        <f t="shared" si="31"/>
        <v>0</v>
      </c>
      <c r="N183" s="40">
        <f t="shared" si="33"/>
        <v>0</v>
      </c>
      <c r="O183" s="13">
        <f t="shared" si="32"/>
        <v>0</v>
      </c>
      <c r="P183" s="13">
        <v>0</v>
      </c>
      <c r="Q183" s="13">
        <v>0</v>
      </c>
      <c r="R183" s="7"/>
    </row>
    <row r="184" spans="1:18" ht="12.75">
      <c r="A184" s="7"/>
      <c r="B184" s="64">
        <v>53.777</v>
      </c>
      <c r="C184" s="7" t="s">
        <v>390</v>
      </c>
      <c r="D184" s="7"/>
      <c r="E184" s="7"/>
      <c r="F184" s="7"/>
      <c r="G184" s="7"/>
      <c r="H184" s="7"/>
      <c r="I184" s="7"/>
      <c r="J184" s="13">
        <f t="shared" si="30"/>
        <v>45.38000000000001</v>
      </c>
      <c r="K184" s="294"/>
      <c r="L184" s="7"/>
      <c r="M184" s="13">
        <f t="shared" si="31"/>
        <v>45.38000000000001</v>
      </c>
      <c r="N184" s="40">
        <f t="shared" si="33"/>
        <v>4.991800000000001</v>
      </c>
      <c r="O184" s="13">
        <f t="shared" si="32"/>
        <v>4.991800000000001</v>
      </c>
      <c r="P184" s="13">
        <v>0</v>
      </c>
      <c r="Q184" s="13">
        <v>0</v>
      </c>
      <c r="R184" s="7"/>
    </row>
    <row r="185" spans="1:18" ht="12.75">
      <c r="A185" s="7"/>
      <c r="B185" s="64">
        <v>53.778</v>
      </c>
      <c r="C185" s="7" t="s">
        <v>486</v>
      </c>
      <c r="D185" s="7"/>
      <c r="E185" s="7"/>
      <c r="F185" s="7"/>
      <c r="G185" s="7"/>
      <c r="H185" s="7"/>
      <c r="I185" s="7"/>
      <c r="J185" s="13">
        <f t="shared" si="30"/>
        <v>36.37</v>
      </c>
      <c r="K185" s="294"/>
      <c r="L185" s="7"/>
      <c r="M185" s="13">
        <f>+J185+K185-L185</f>
        <v>36.37</v>
      </c>
      <c r="N185" s="40">
        <f t="shared" si="33"/>
        <v>4.0007</v>
      </c>
      <c r="O185" s="13">
        <f>+N185</f>
        <v>4.0007</v>
      </c>
      <c r="P185" s="13">
        <v>0</v>
      </c>
      <c r="Q185" s="13">
        <v>0</v>
      </c>
      <c r="R185" s="7"/>
    </row>
    <row r="186" spans="1:18" ht="12.75">
      <c r="A186" s="7"/>
      <c r="B186" s="64">
        <v>53.749</v>
      </c>
      <c r="C186" s="7" t="s">
        <v>487</v>
      </c>
      <c r="D186" s="7"/>
      <c r="E186" s="7"/>
      <c r="F186" s="7"/>
      <c r="G186" s="7"/>
      <c r="H186" s="7"/>
      <c r="I186" s="7"/>
      <c r="J186" s="13">
        <f t="shared" si="30"/>
        <v>95.44</v>
      </c>
      <c r="K186" s="294"/>
      <c r="L186" s="7"/>
      <c r="M186" s="13">
        <f>+J186+K186-L186</f>
        <v>95.44</v>
      </c>
      <c r="N186" s="40">
        <f t="shared" si="33"/>
        <v>10.498399999999998</v>
      </c>
      <c r="O186" s="13">
        <f>+N186</f>
        <v>10.498399999999998</v>
      </c>
      <c r="P186" s="13">
        <v>0</v>
      </c>
      <c r="Q186" s="13">
        <v>0</v>
      </c>
      <c r="R186" s="7"/>
    </row>
    <row r="187" spans="1:18" ht="12.75">
      <c r="A187" s="7"/>
      <c r="B187" s="64"/>
      <c r="C187" s="7" t="s">
        <v>488</v>
      </c>
      <c r="D187" s="7"/>
      <c r="E187" s="7"/>
      <c r="F187" s="7"/>
      <c r="G187" s="7"/>
      <c r="H187" s="7"/>
      <c r="I187" s="7"/>
      <c r="J187" s="13">
        <f t="shared" si="30"/>
        <v>86.1</v>
      </c>
      <c r="K187" s="294"/>
      <c r="L187" s="7"/>
      <c r="M187" s="13">
        <f>+J187+K187-L187</f>
        <v>86.1</v>
      </c>
      <c r="N187" s="40">
        <f t="shared" si="33"/>
        <v>9.470999999999998</v>
      </c>
      <c r="O187" s="13">
        <f>+N187</f>
        <v>9.470999999999998</v>
      </c>
      <c r="P187" s="13">
        <v>0</v>
      </c>
      <c r="Q187" s="13">
        <v>0</v>
      </c>
      <c r="R187" s="7"/>
    </row>
    <row r="188" spans="1:18" ht="12.75">
      <c r="A188" s="7"/>
      <c r="B188" s="64"/>
      <c r="C188" s="7" t="s">
        <v>410</v>
      </c>
      <c r="D188" s="7"/>
      <c r="E188" s="7"/>
      <c r="F188" s="7"/>
      <c r="G188" s="7"/>
      <c r="H188" s="7"/>
      <c r="I188" s="7"/>
      <c r="J188" s="13">
        <f t="shared" si="30"/>
        <v>0</v>
      </c>
      <c r="K188" s="294"/>
      <c r="L188" s="7"/>
      <c r="M188" s="13">
        <f>+J188+K188-L188</f>
        <v>0</v>
      </c>
      <c r="N188" s="40">
        <f t="shared" si="33"/>
        <v>0</v>
      </c>
      <c r="O188" s="13">
        <f t="shared" si="32"/>
        <v>0</v>
      </c>
      <c r="P188" s="13">
        <v>0</v>
      </c>
      <c r="Q188" s="13">
        <v>0</v>
      </c>
      <c r="R188" s="7"/>
    </row>
    <row r="189" spans="1:18" ht="12.75">
      <c r="A189" s="93"/>
      <c r="B189" s="94"/>
      <c r="C189" s="93"/>
      <c r="D189" s="93"/>
      <c r="E189" s="93"/>
      <c r="F189" s="93"/>
      <c r="G189" s="93"/>
      <c r="H189" s="93"/>
      <c r="I189" s="93"/>
      <c r="J189" s="31">
        <f aca="true" t="shared" si="34" ref="J189:Q189">SUM(J163:J188)</f>
        <v>5080.069</v>
      </c>
      <c r="K189" s="31">
        <f t="shared" si="34"/>
        <v>1819.96</v>
      </c>
      <c r="L189" s="31">
        <f t="shared" si="34"/>
        <v>608</v>
      </c>
      <c r="M189" s="31">
        <f t="shared" si="34"/>
        <v>6292.028999999999</v>
      </c>
      <c r="N189" s="31">
        <f t="shared" si="34"/>
        <v>625.4653900000001</v>
      </c>
      <c r="O189" s="31">
        <f t="shared" si="34"/>
        <v>625.4653900000001</v>
      </c>
      <c r="P189" s="31">
        <f t="shared" si="34"/>
        <v>0</v>
      </c>
      <c r="Q189" s="31">
        <f t="shared" si="34"/>
        <v>0</v>
      </c>
      <c r="R189" s="93"/>
    </row>
    <row r="190" spans="1:18" ht="12.75">
      <c r="A190" s="30"/>
      <c r="B190" s="95"/>
      <c r="C190" s="30"/>
      <c r="D190" s="30"/>
      <c r="E190" s="30"/>
      <c r="F190" s="30"/>
      <c r="G190" s="30"/>
      <c r="H190" s="30"/>
      <c r="I190" s="30"/>
      <c r="J190" s="31">
        <f aca="true" t="shared" si="35" ref="J190:Q190">+J153+J157+J161+J189</f>
        <v>5080.069</v>
      </c>
      <c r="K190" s="31">
        <f t="shared" si="35"/>
        <v>1819.96</v>
      </c>
      <c r="L190" s="31">
        <f t="shared" si="35"/>
        <v>608</v>
      </c>
      <c r="M190" s="31">
        <f t="shared" si="35"/>
        <v>6292.028999999999</v>
      </c>
      <c r="N190" s="31">
        <f t="shared" si="35"/>
        <v>625.4653900000001</v>
      </c>
      <c r="O190" s="31">
        <f t="shared" si="35"/>
        <v>625.4653900000001</v>
      </c>
      <c r="P190" s="31">
        <f t="shared" si="35"/>
        <v>0</v>
      </c>
      <c r="Q190" s="31">
        <f t="shared" si="35"/>
        <v>0</v>
      </c>
      <c r="R190" s="30"/>
    </row>
    <row r="191" spans="1:18" ht="15.75">
      <c r="A191" s="102" t="s">
        <v>287</v>
      </c>
      <c r="B191" s="64"/>
      <c r="C191" s="7"/>
      <c r="D191" s="7"/>
      <c r="E191" s="7"/>
      <c r="F191" s="7"/>
      <c r="G191" s="7"/>
      <c r="H191" s="7"/>
      <c r="I191" s="7"/>
      <c r="J191" s="7"/>
      <c r="K191" s="7"/>
      <c r="L191" s="7"/>
      <c r="M191" s="7"/>
      <c r="N191" s="7"/>
      <c r="O191" s="7"/>
      <c r="P191" s="7"/>
      <c r="Q191" s="7"/>
      <c r="R191" s="7"/>
    </row>
    <row r="192" spans="1:18" ht="12.75">
      <c r="A192" s="22" t="s">
        <v>281</v>
      </c>
      <c r="B192" s="64"/>
      <c r="C192" s="7"/>
      <c r="D192" s="7"/>
      <c r="E192" s="7"/>
      <c r="F192" s="7"/>
      <c r="G192" s="7"/>
      <c r="H192" s="7"/>
      <c r="I192" s="7"/>
      <c r="J192" s="8"/>
      <c r="K192" s="8"/>
      <c r="L192" s="8"/>
      <c r="M192" s="8"/>
      <c r="N192" s="8"/>
      <c r="O192" s="8"/>
      <c r="P192" s="8"/>
      <c r="Q192" s="8"/>
      <c r="R192" s="7"/>
    </row>
    <row r="193" spans="1:18" ht="12.75">
      <c r="A193" s="22"/>
      <c r="B193" s="64"/>
      <c r="C193" s="7" t="s">
        <v>402</v>
      </c>
      <c r="D193" s="7"/>
      <c r="E193" s="7"/>
      <c r="F193" s="7"/>
      <c r="G193" s="7"/>
      <c r="H193" s="7"/>
      <c r="I193" s="7"/>
      <c r="J193" s="40">
        <f>+M120</f>
        <v>0</v>
      </c>
      <c r="K193" s="8"/>
      <c r="L193" s="40"/>
      <c r="M193" s="13">
        <f>+J193+K193-L193</f>
        <v>0</v>
      </c>
      <c r="N193" s="40">
        <f>(+J193+M193)/2*12.5/100</f>
        <v>0</v>
      </c>
      <c r="O193" s="13">
        <f>+N193</f>
        <v>0</v>
      </c>
      <c r="P193" s="13">
        <v>0</v>
      </c>
      <c r="Q193" s="13">
        <v>0</v>
      </c>
      <c r="R193" s="7"/>
    </row>
    <row r="194" spans="1:18" ht="12.75">
      <c r="A194" s="22"/>
      <c r="B194" s="64"/>
      <c r="C194" s="7" t="s">
        <v>403</v>
      </c>
      <c r="D194" s="7"/>
      <c r="E194" s="7"/>
      <c r="F194" s="7"/>
      <c r="G194" s="7"/>
      <c r="H194" s="7"/>
      <c r="I194" s="7"/>
      <c r="J194" s="40">
        <f>+M121</f>
        <v>0</v>
      </c>
      <c r="K194" s="8"/>
      <c r="L194" s="40"/>
      <c r="M194" s="13">
        <f>+J194+K194-L194</f>
        <v>0</v>
      </c>
      <c r="N194" s="40">
        <f>(+J194+M194)/2*12.5/100</f>
        <v>0</v>
      </c>
      <c r="O194" s="13">
        <f>+N194</f>
        <v>0</v>
      </c>
      <c r="P194" s="13">
        <v>0</v>
      </c>
      <c r="Q194" s="13">
        <v>0</v>
      </c>
      <c r="R194" s="7"/>
    </row>
    <row r="195" spans="1:18" ht="12.75">
      <c r="A195" s="22"/>
      <c r="B195" s="64"/>
      <c r="C195" s="7" t="s">
        <v>404</v>
      </c>
      <c r="D195" s="7"/>
      <c r="E195" s="7"/>
      <c r="F195" s="7"/>
      <c r="G195" s="7"/>
      <c r="H195" s="7"/>
      <c r="I195" s="7"/>
      <c r="J195" s="40">
        <f>+M122</f>
        <v>0</v>
      </c>
      <c r="K195" s="8"/>
      <c r="L195" s="40"/>
      <c r="M195" s="13">
        <f>+J195+K195-L195</f>
        <v>0</v>
      </c>
      <c r="N195" s="40">
        <f>(+J195+M195)/2*12.5/100</f>
        <v>0</v>
      </c>
      <c r="O195" s="13">
        <f>+N195</f>
        <v>0</v>
      </c>
      <c r="P195" s="13">
        <v>0</v>
      </c>
      <c r="Q195" s="13">
        <v>0</v>
      </c>
      <c r="R195" s="7"/>
    </row>
    <row r="196" spans="1:18" ht="12.75">
      <c r="A196" s="7"/>
      <c r="B196" s="64"/>
      <c r="C196" s="7" t="s">
        <v>405</v>
      </c>
      <c r="D196" s="7"/>
      <c r="E196" s="7"/>
      <c r="F196" s="7"/>
      <c r="G196" s="7"/>
      <c r="H196" s="7"/>
      <c r="I196" s="7"/>
      <c r="J196" s="40">
        <f>+M123</f>
        <v>0</v>
      </c>
      <c r="K196" s="13"/>
      <c r="L196" s="13"/>
      <c r="M196" s="13">
        <f>+J196+K196-L196</f>
        <v>0</v>
      </c>
      <c r="N196" s="40">
        <f>(+J196+M196)/2*12.5/100</f>
        <v>0</v>
      </c>
      <c r="O196" s="13">
        <f>+N196</f>
        <v>0</v>
      </c>
      <c r="P196" s="13">
        <v>0</v>
      </c>
      <c r="Q196" s="13">
        <v>0</v>
      </c>
      <c r="R196" s="7"/>
    </row>
    <row r="197" spans="1:18" ht="12.75">
      <c r="A197" s="93"/>
      <c r="B197" s="94"/>
      <c r="C197" s="93"/>
      <c r="D197" s="93"/>
      <c r="E197" s="93"/>
      <c r="F197" s="93"/>
      <c r="G197" s="93"/>
      <c r="H197" s="93"/>
      <c r="I197" s="93"/>
      <c r="J197" s="31">
        <f aca="true" t="shared" si="36" ref="J197:Q197">+J193+J194+J195</f>
        <v>0</v>
      </c>
      <c r="K197" s="31">
        <f t="shared" si="36"/>
        <v>0</v>
      </c>
      <c r="L197" s="31">
        <f t="shared" si="36"/>
        <v>0</v>
      </c>
      <c r="M197" s="31">
        <f t="shared" si="36"/>
        <v>0</v>
      </c>
      <c r="N197" s="31">
        <f t="shared" si="36"/>
        <v>0</v>
      </c>
      <c r="O197" s="31">
        <f t="shared" si="36"/>
        <v>0</v>
      </c>
      <c r="P197" s="31">
        <f t="shared" si="36"/>
        <v>0</v>
      </c>
      <c r="Q197" s="31">
        <f t="shared" si="36"/>
        <v>0</v>
      </c>
      <c r="R197" s="93"/>
    </row>
    <row r="198" spans="1:18" ht="12.75">
      <c r="A198" s="22" t="s">
        <v>282</v>
      </c>
      <c r="B198" s="64"/>
      <c r="C198" s="7"/>
      <c r="D198" s="7"/>
      <c r="E198" s="7"/>
      <c r="F198" s="7"/>
      <c r="G198" s="7"/>
      <c r="H198" s="7"/>
      <c r="I198" s="7"/>
      <c r="J198" s="8"/>
      <c r="K198" s="8"/>
      <c r="L198" s="8"/>
      <c r="M198" s="8"/>
      <c r="N198" s="8"/>
      <c r="O198" s="8"/>
      <c r="P198" s="8"/>
      <c r="Q198" s="8"/>
      <c r="R198" s="7"/>
    </row>
    <row r="199" spans="1:18" ht="12.75">
      <c r="A199" s="7"/>
      <c r="B199" s="64"/>
      <c r="C199" s="7"/>
      <c r="D199" s="7"/>
      <c r="E199" s="7"/>
      <c r="F199" s="7"/>
      <c r="G199" s="7"/>
      <c r="H199" s="7"/>
      <c r="I199" s="7"/>
      <c r="J199" s="13">
        <f>+M126</f>
        <v>0</v>
      </c>
      <c r="K199" s="7"/>
      <c r="L199" s="7"/>
      <c r="M199" s="13">
        <f>+J199+K199-L199</f>
        <v>0</v>
      </c>
      <c r="N199" s="40">
        <f>(+J199+M199)/2*12.5/100</f>
        <v>0</v>
      </c>
      <c r="O199" s="13">
        <f>+N199</f>
        <v>0</v>
      </c>
      <c r="P199" s="13">
        <v>0</v>
      </c>
      <c r="Q199" s="13">
        <v>0</v>
      </c>
      <c r="R199" s="7"/>
    </row>
    <row r="200" spans="1:18" ht="12.75">
      <c r="A200" s="7"/>
      <c r="B200" s="64"/>
      <c r="C200" s="7"/>
      <c r="D200" s="7"/>
      <c r="E200" s="7"/>
      <c r="F200" s="7"/>
      <c r="G200" s="7"/>
      <c r="H200" s="7"/>
      <c r="I200" s="7"/>
      <c r="J200" s="13">
        <f>+M127</f>
        <v>0</v>
      </c>
      <c r="K200" s="7"/>
      <c r="L200" s="7"/>
      <c r="M200" s="13">
        <f>+J200+K200-L200</f>
        <v>0</v>
      </c>
      <c r="N200" s="40">
        <f>(+J200+M200)/2*12.5/100</f>
        <v>0</v>
      </c>
      <c r="O200" s="13">
        <f>+N200</f>
        <v>0</v>
      </c>
      <c r="P200" s="13">
        <v>0</v>
      </c>
      <c r="Q200" s="13">
        <v>0</v>
      </c>
      <c r="R200" s="7"/>
    </row>
    <row r="201" spans="1:18" ht="12.75">
      <c r="A201" s="93"/>
      <c r="B201" s="94"/>
      <c r="C201" s="93"/>
      <c r="D201" s="93"/>
      <c r="E201" s="93"/>
      <c r="F201" s="93"/>
      <c r="G201" s="93"/>
      <c r="H201" s="93"/>
      <c r="I201" s="93"/>
      <c r="J201" s="31">
        <f aca="true" t="shared" si="37" ref="J201:Q201">+J199+J200</f>
        <v>0</v>
      </c>
      <c r="K201" s="31">
        <f t="shared" si="37"/>
        <v>0</v>
      </c>
      <c r="L201" s="31">
        <f t="shared" si="37"/>
        <v>0</v>
      </c>
      <c r="M201" s="31">
        <f t="shared" si="37"/>
        <v>0</v>
      </c>
      <c r="N201" s="31">
        <f t="shared" si="37"/>
        <v>0</v>
      </c>
      <c r="O201" s="31">
        <f t="shared" si="37"/>
        <v>0</v>
      </c>
      <c r="P201" s="31">
        <f t="shared" si="37"/>
        <v>0</v>
      </c>
      <c r="Q201" s="31">
        <f t="shared" si="37"/>
        <v>0</v>
      </c>
      <c r="R201" s="93"/>
    </row>
    <row r="202" spans="1:18" ht="12.75">
      <c r="A202" s="22" t="s">
        <v>283</v>
      </c>
      <c r="B202" s="64"/>
      <c r="C202" s="7"/>
      <c r="D202" s="7"/>
      <c r="E202" s="7"/>
      <c r="F202" s="7"/>
      <c r="G202" s="7"/>
      <c r="H202" s="7"/>
      <c r="I202" s="7"/>
      <c r="J202" s="8"/>
      <c r="K202" s="8"/>
      <c r="L202" s="8"/>
      <c r="M202" s="8"/>
      <c r="N202" s="8"/>
      <c r="O202" s="8"/>
      <c r="P202" s="8"/>
      <c r="Q202" s="8"/>
      <c r="R202" s="7"/>
    </row>
    <row r="203" spans="1:18" ht="12.75">
      <c r="A203" s="7"/>
      <c r="B203" s="92">
        <v>54.2</v>
      </c>
      <c r="C203" s="7" t="s">
        <v>321</v>
      </c>
      <c r="D203" s="7"/>
      <c r="E203" s="7"/>
      <c r="F203" s="7"/>
      <c r="G203" s="7"/>
      <c r="H203" s="7"/>
      <c r="I203" s="7"/>
      <c r="J203" s="13">
        <f>+M130</f>
        <v>272.37999999999994</v>
      </c>
      <c r="K203" s="84"/>
      <c r="L203" s="84"/>
      <c r="M203" s="84">
        <f>+J203+K203-L203</f>
        <v>272.37999999999994</v>
      </c>
      <c r="N203" s="84">
        <f>(+J203+M203)/2*10/100</f>
        <v>27.237999999999992</v>
      </c>
      <c r="O203" s="13">
        <f>+N203</f>
        <v>27.237999999999992</v>
      </c>
      <c r="P203" s="13">
        <v>0</v>
      </c>
      <c r="Q203" s="13">
        <v>0</v>
      </c>
      <c r="R203" s="7"/>
    </row>
    <row r="204" spans="1:18" ht="12.75">
      <c r="A204" s="7"/>
      <c r="B204" s="92"/>
      <c r="C204" s="33" t="s">
        <v>492</v>
      </c>
      <c r="D204" s="7"/>
      <c r="E204" s="7"/>
      <c r="F204" s="7"/>
      <c r="G204" s="7"/>
      <c r="H204" s="7"/>
      <c r="I204" s="7"/>
      <c r="J204" s="13">
        <f>+M131</f>
        <v>90</v>
      </c>
      <c r="K204" s="84">
        <v>329.56</v>
      </c>
      <c r="L204" s="84">
        <v>9.5</v>
      </c>
      <c r="M204" s="84">
        <f>+J204+K204-L204</f>
        <v>410.06</v>
      </c>
      <c r="N204" s="84">
        <f>(+J204+M204)/2*1.72/100</f>
        <v>4.300516</v>
      </c>
      <c r="O204" s="13">
        <f>+N204</f>
        <v>4.300516</v>
      </c>
      <c r="P204" s="13">
        <v>0</v>
      </c>
      <c r="Q204" s="13">
        <v>0</v>
      </c>
      <c r="R204" s="7"/>
    </row>
    <row r="205" spans="1:18" ht="12.75">
      <c r="A205" s="7"/>
      <c r="B205" s="92"/>
      <c r="C205" s="33" t="s">
        <v>493</v>
      </c>
      <c r="D205" s="7"/>
      <c r="E205" s="7"/>
      <c r="F205" s="7"/>
      <c r="G205" s="7"/>
      <c r="H205" s="7"/>
      <c r="I205" s="7"/>
      <c r="J205" s="13">
        <f>+M132</f>
        <v>291.01</v>
      </c>
      <c r="K205" s="84">
        <v>335.64</v>
      </c>
      <c r="L205" s="84">
        <v>29.86</v>
      </c>
      <c r="M205" s="84">
        <f>+J205+K205-L205</f>
        <v>596.79</v>
      </c>
      <c r="N205" s="84">
        <f>(+J205+M205)/2*10/100</f>
        <v>44.39</v>
      </c>
      <c r="O205" s="13">
        <f>+N205</f>
        <v>44.39</v>
      </c>
      <c r="P205" s="13">
        <v>0</v>
      </c>
      <c r="Q205" s="13">
        <v>0</v>
      </c>
      <c r="R205" s="7"/>
    </row>
    <row r="206" spans="1:18" ht="12.75">
      <c r="A206" s="7"/>
      <c r="B206" s="92"/>
      <c r="C206" s="158" t="s">
        <v>494</v>
      </c>
      <c r="D206" s="7"/>
      <c r="E206" s="7"/>
      <c r="F206" s="7"/>
      <c r="G206" s="7"/>
      <c r="H206" s="7"/>
      <c r="I206" s="7"/>
      <c r="J206" s="13">
        <f>+M133</f>
        <v>565.68</v>
      </c>
      <c r="K206" s="84">
        <v>118.91</v>
      </c>
      <c r="L206" s="84">
        <v>30.33</v>
      </c>
      <c r="M206" s="84">
        <f>+J206+K206-L206</f>
        <v>654.2599999999999</v>
      </c>
      <c r="N206" s="84">
        <f>(+J206+M206)/2*10/100</f>
        <v>60.996999999999986</v>
      </c>
      <c r="O206" s="13">
        <f>+N206</f>
        <v>60.996999999999986</v>
      </c>
      <c r="P206" s="13">
        <v>0</v>
      </c>
      <c r="Q206" s="13">
        <v>0</v>
      </c>
      <c r="R206" s="7"/>
    </row>
    <row r="207" spans="1:18" ht="12.75">
      <c r="A207" s="93"/>
      <c r="B207" s="94"/>
      <c r="C207" s="93"/>
      <c r="D207" s="93"/>
      <c r="E207" s="93"/>
      <c r="F207" s="93"/>
      <c r="G207" s="93"/>
      <c r="H207" s="93"/>
      <c r="I207" s="93"/>
      <c r="J207" s="31">
        <f>SUM(J203:J206)</f>
        <v>1219.0699999999997</v>
      </c>
      <c r="K207" s="31">
        <f aca="true" t="shared" si="38" ref="K207:Q207">SUM(K203:K206)</f>
        <v>784.11</v>
      </c>
      <c r="L207" s="31">
        <f t="shared" si="38"/>
        <v>69.69</v>
      </c>
      <c r="M207" s="31">
        <f t="shared" si="38"/>
        <v>1933.4899999999998</v>
      </c>
      <c r="N207" s="31">
        <f t="shared" si="38"/>
        <v>136.925516</v>
      </c>
      <c r="O207" s="31">
        <f t="shared" si="38"/>
        <v>136.925516</v>
      </c>
      <c r="P207" s="31">
        <f t="shared" si="38"/>
        <v>0</v>
      </c>
      <c r="Q207" s="31">
        <f t="shared" si="38"/>
        <v>0</v>
      </c>
      <c r="R207" s="93"/>
    </row>
    <row r="208" spans="1:18" ht="12.75">
      <c r="A208" s="22" t="s">
        <v>284</v>
      </c>
      <c r="B208" s="64"/>
      <c r="C208" s="7"/>
      <c r="D208" s="7"/>
      <c r="E208" s="7"/>
      <c r="F208" s="7"/>
      <c r="G208" s="7"/>
      <c r="H208" s="7"/>
      <c r="I208" s="7"/>
      <c r="J208" s="7"/>
      <c r="K208" s="7"/>
      <c r="L208" s="7"/>
      <c r="M208" s="7"/>
      <c r="N208" s="7"/>
      <c r="O208" s="7"/>
      <c r="P208" s="7"/>
      <c r="Q208" s="7"/>
      <c r="R208" s="7"/>
    </row>
    <row r="209" spans="1:18" ht="12.75">
      <c r="A209" s="7"/>
      <c r="B209" s="92">
        <v>52.501</v>
      </c>
      <c r="C209" s="7" t="s">
        <v>308</v>
      </c>
      <c r="D209" s="7"/>
      <c r="E209" s="7"/>
      <c r="F209" s="7"/>
      <c r="G209" s="7"/>
      <c r="H209" s="7"/>
      <c r="I209" s="7"/>
      <c r="J209" s="13">
        <f>+M136</f>
        <v>0</v>
      </c>
      <c r="K209" s="7"/>
      <c r="L209" s="7"/>
      <c r="M209" s="13">
        <f>+J209+K209-L209</f>
        <v>0</v>
      </c>
      <c r="N209" s="40">
        <f>(+J209+M209)/2*12.5/100</f>
        <v>0</v>
      </c>
      <c r="O209" s="13">
        <f>+N209</f>
        <v>0</v>
      </c>
      <c r="P209" s="13">
        <v>0</v>
      </c>
      <c r="Q209" s="13">
        <v>0</v>
      </c>
      <c r="R209" s="7"/>
    </row>
    <row r="210" spans="1:18" ht="12.75">
      <c r="A210" s="7"/>
      <c r="B210" s="92">
        <v>53.61</v>
      </c>
      <c r="C210" s="7" t="s">
        <v>309</v>
      </c>
      <c r="D210" s="7"/>
      <c r="E210" s="7"/>
      <c r="F210" s="7"/>
      <c r="G210" s="7"/>
      <c r="H210" s="7"/>
      <c r="I210" s="7"/>
      <c r="J210" s="13">
        <f>+M137</f>
        <v>0</v>
      </c>
      <c r="K210" s="7"/>
      <c r="L210" s="7"/>
      <c r="M210" s="13">
        <f>+J210+K210-L210</f>
        <v>0</v>
      </c>
      <c r="N210" s="40">
        <f>(+J210+M210)/2*12.5/100</f>
        <v>0</v>
      </c>
      <c r="O210" s="13">
        <f>+N210</f>
        <v>0</v>
      </c>
      <c r="P210" s="13">
        <v>0</v>
      </c>
      <c r="Q210" s="13">
        <v>0</v>
      </c>
      <c r="R210" s="7"/>
    </row>
    <row r="211" spans="1:18" ht="12.75">
      <c r="A211" s="7"/>
      <c r="B211" s="92"/>
      <c r="C211" s="7" t="s">
        <v>409</v>
      </c>
      <c r="D211" s="7"/>
      <c r="E211" s="7"/>
      <c r="F211" s="7"/>
      <c r="G211" s="7"/>
      <c r="H211" s="7"/>
      <c r="I211" s="7"/>
      <c r="J211" s="13"/>
      <c r="K211" s="7"/>
      <c r="L211" s="7"/>
      <c r="M211" s="13">
        <f>+J211+K211-L211</f>
        <v>0</v>
      </c>
      <c r="N211" s="40">
        <f>(+J211+M211)/2*12.5/100</f>
        <v>0</v>
      </c>
      <c r="O211" s="13">
        <f>+N211</f>
        <v>0</v>
      </c>
      <c r="P211" s="13">
        <v>0</v>
      </c>
      <c r="Q211" s="13">
        <v>0</v>
      </c>
      <c r="R211" s="7"/>
    </row>
    <row r="212" spans="1:18" ht="12.75">
      <c r="A212" s="93"/>
      <c r="B212" s="94"/>
      <c r="C212" s="93"/>
      <c r="D212" s="93"/>
      <c r="E212" s="93"/>
      <c r="F212" s="93"/>
      <c r="G212" s="93"/>
      <c r="H212" s="93"/>
      <c r="I212" s="93"/>
      <c r="J212" s="31">
        <f>SUM(J209:J211)</f>
        <v>0</v>
      </c>
      <c r="K212" s="31">
        <f aca="true" t="shared" si="39" ref="K212:Q212">SUM(K209:K211)</f>
        <v>0</v>
      </c>
      <c r="L212" s="31">
        <f t="shared" si="39"/>
        <v>0</v>
      </c>
      <c r="M212" s="31">
        <f t="shared" si="39"/>
        <v>0</v>
      </c>
      <c r="N212" s="31">
        <f t="shared" si="39"/>
        <v>0</v>
      </c>
      <c r="O212" s="31">
        <f t="shared" si="39"/>
        <v>0</v>
      </c>
      <c r="P212" s="31">
        <f t="shared" si="39"/>
        <v>0</v>
      </c>
      <c r="Q212" s="31">
        <f t="shared" si="39"/>
        <v>0</v>
      </c>
      <c r="R212" s="93"/>
    </row>
    <row r="213" spans="1:18" ht="12.75">
      <c r="A213" s="30"/>
      <c r="B213" s="95"/>
      <c r="C213" s="30"/>
      <c r="D213" s="30"/>
      <c r="E213" s="30"/>
      <c r="F213" s="30"/>
      <c r="G213" s="30"/>
      <c r="H213" s="30"/>
      <c r="I213" s="30"/>
      <c r="J213" s="31">
        <f aca="true" t="shared" si="40" ref="J213:Q213">+J197+J201+J207+J212</f>
        <v>1219.0699999999997</v>
      </c>
      <c r="K213" s="31">
        <f t="shared" si="40"/>
        <v>784.11</v>
      </c>
      <c r="L213" s="31">
        <f t="shared" si="40"/>
        <v>69.69</v>
      </c>
      <c r="M213" s="31">
        <f t="shared" si="40"/>
        <v>1933.4899999999998</v>
      </c>
      <c r="N213" s="31">
        <f t="shared" si="40"/>
        <v>136.925516</v>
      </c>
      <c r="O213" s="31">
        <f t="shared" si="40"/>
        <v>136.925516</v>
      </c>
      <c r="P213" s="31">
        <f t="shared" si="40"/>
        <v>0</v>
      </c>
      <c r="Q213" s="31">
        <f t="shared" si="40"/>
        <v>0</v>
      </c>
      <c r="R213" s="30"/>
    </row>
    <row r="214" spans="1:18" ht="12.75">
      <c r="A214" s="30"/>
      <c r="B214" s="95"/>
      <c r="C214" s="30"/>
      <c r="D214" s="30"/>
      <c r="E214" s="30"/>
      <c r="F214" s="30"/>
      <c r="G214" s="30"/>
      <c r="H214" s="30"/>
      <c r="I214" s="30"/>
      <c r="J214" s="31">
        <f aca="true" t="shared" si="41" ref="J214:Q214">+J190+J213</f>
        <v>6299.139</v>
      </c>
      <c r="K214" s="31">
        <f t="shared" si="41"/>
        <v>2604.07</v>
      </c>
      <c r="L214" s="31">
        <f t="shared" si="41"/>
        <v>677.69</v>
      </c>
      <c r="M214" s="31">
        <f t="shared" si="41"/>
        <v>8225.518999999998</v>
      </c>
      <c r="N214" s="31">
        <f>+N190+N213</f>
        <v>762.3909060000001</v>
      </c>
      <c r="O214" s="31">
        <f t="shared" si="41"/>
        <v>762.3909060000001</v>
      </c>
      <c r="P214" s="31">
        <f t="shared" si="41"/>
        <v>0</v>
      </c>
      <c r="Q214" s="31">
        <f t="shared" si="41"/>
        <v>0</v>
      </c>
      <c r="R214" s="31"/>
    </row>
    <row r="215" ht="12.75">
      <c r="L215">
        <v>18.38</v>
      </c>
    </row>
    <row r="216" spans="10:13" ht="12.75">
      <c r="J216" s="15" t="s">
        <v>516</v>
      </c>
      <c r="M216">
        <v>1379</v>
      </c>
    </row>
    <row r="217" spans="10:13" ht="12.75">
      <c r="J217" s="15" t="s">
        <v>517</v>
      </c>
      <c r="M217" s="20">
        <f>M214-M216</f>
        <v>6846.518999999998</v>
      </c>
    </row>
    <row r="221" spans="1:18" ht="12.75">
      <c r="A221" s="316" t="s">
        <v>478</v>
      </c>
      <c r="B221" s="90"/>
      <c r="C221" s="10"/>
      <c r="D221" s="9"/>
      <c r="E221" s="10"/>
      <c r="F221" s="10"/>
      <c r="G221" s="10"/>
      <c r="H221" s="10"/>
      <c r="I221" s="91"/>
      <c r="J221" s="10"/>
      <c r="K221" s="10"/>
      <c r="L221" s="10"/>
      <c r="M221" s="10"/>
      <c r="N221" s="10"/>
      <c r="O221" s="10"/>
      <c r="P221" s="10"/>
      <c r="Q221" s="62" t="s">
        <v>251</v>
      </c>
      <c r="R221" s="10"/>
    </row>
    <row r="222" spans="1:18" ht="56.25">
      <c r="A222" s="270" t="s">
        <v>252</v>
      </c>
      <c r="B222" s="270" t="s">
        <v>278</v>
      </c>
      <c r="C222" s="270" t="s">
        <v>311</v>
      </c>
      <c r="D222" s="270" t="s">
        <v>279</v>
      </c>
      <c r="E222" s="270" t="s">
        <v>255</v>
      </c>
      <c r="F222" s="270" t="s">
        <v>280</v>
      </c>
      <c r="G222" s="270" t="s">
        <v>261</v>
      </c>
      <c r="H222" s="270" t="s">
        <v>310</v>
      </c>
      <c r="I222" s="271" t="s">
        <v>262</v>
      </c>
      <c r="J222" s="270" t="s">
        <v>263</v>
      </c>
      <c r="K222" s="270" t="s">
        <v>264</v>
      </c>
      <c r="L222" s="270" t="s">
        <v>265</v>
      </c>
      <c r="M222" s="270" t="s">
        <v>266</v>
      </c>
      <c r="N222" s="270" t="s">
        <v>267</v>
      </c>
      <c r="O222" s="270" t="s">
        <v>268</v>
      </c>
      <c r="P222" s="270" t="s">
        <v>269</v>
      </c>
      <c r="Q222" s="270" t="s">
        <v>270</v>
      </c>
      <c r="R222" s="270" t="s">
        <v>107</v>
      </c>
    </row>
    <row r="223" spans="1:18" ht="15.75">
      <c r="A223" s="102" t="s">
        <v>288</v>
      </c>
      <c r="B223" s="64"/>
      <c r="C223" s="7"/>
      <c r="D223" s="7"/>
      <c r="E223" s="7"/>
      <c r="F223" s="7"/>
      <c r="G223" s="7"/>
      <c r="H223" s="7"/>
      <c r="I223" s="7"/>
      <c r="J223" s="8"/>
      <c r="K223" s="8"/>
      <c r="L223" s="8"/>
      <c r="M223" s="8"/>
      <c r="N223" s="8"/>
      <c r="O223" s="8"/>
      <c r="P223" s="8"/>
      <c r="Q223" s="8"/>
      <c r="R223" s="7"/>
    </row>
    <row r="224" spans="1:18" ht="12.75">
      <c r="A224" s="22" t="s">
        <v>281</v>
      </c>
      <c r="B224" s="64"/>
      <c r="C224" s="7"/>
      <c r="D224" s="7"/>
      <c r="E224" s="7"/>
      <c r="F224" s="7"/>
      <c r="G224" s="7"/>
      <c r="H224" s="7"/>
      <c r="I224" s="7"/>
      <c r="J224" s="8"/>
      <c r="K224" s="8"/>
      <c r="L224" s="8"/>
      <c r="M224" s="8"/>
      <c r="N224" s="8"/>
      <c r="O224" s="8"/>
      <c r="P224" s="8"/>
      <c r="Q224" s="8"/>
      <c r="R224" s="7"/>
    </row>
    <row r="225" spans="1:18" ht="12.75">
      <c r="A225" s="7"/>
      <c r="B225" s="64"/>
      <c r="C225" s="7" t="s">
        <v>410</v>
      </c>
      <c r="D225" s="7"/>
      <c r="E225" s="7"/>
      <c r="F225" s="7"/>
      <c r="G225" s="7"/>
      <c r="H225" s="7"/>
      <c r="I225" s="7"/>
      <c r="J225" s="13">
        <f>+M151</f>
        <v>0</v>
      </c>
      <c r="K225" s="7"/>
      <c r="L225" s="7"/>
      <c r="M225" s="13">
        <f>+J225+K225-L225</f>
        <v>0</v>
      </c>
      <c r="N225" s="40">
        <f>(+J225+M225)/2*12.5/100</f>
        <v>0</v>
      </c>
      <c r="O225" s="13">
        <f>+N225</f>
        <v>0</v>
      </c>
      <c r="P225" s="13">
        <v>0</v>
      </c>
      <c r="Q225" s="13">
        <v>0</v>
      </c>
      <c r="R225" s="7"/>
    </row>
    <row r="226" spans="1:18" ht="12.75">
      <c r="A226" s="7"/>
      <c r="B226" s="64"/>
      <c r="C226" s="7"/>
      <c r="D226" s="7"/>
      <c r="E226" s="7"/>
      <c r="F226" s="7"/>
      <c r="G226" s="7"/>
      <c r="H226" s="7"/>
      <c r="I226" s="7"/>
      <c r="J226" s="13">
        <f>+M152</f>
        <v>0</v>
      </c>
      <c r="K226" s="7"/>
      <c r="L226" s="7"/>
      <c r="M226" s="13">
        <f>+J226+K226-L226</f>
        <v>0</v>
      </c>
      <c r="N226" s="40">
        <f>(+J226+M226)/2*12.5/100</f>
        <v>0</v>
      </c>
      <c r="O226" s="13">
        <f>+N226</f>
        <v>0</v>
      </c>
      <c r="P226" s="13">
        <v>0</v>
      </c>
      <c r="Q226" s="13">
        <v>0</v>
      </c>
      <c r="R226" s="7"/>
    </row>
    <row r="227" spans="1:18" ht="12.75">
      <c r="A227" s="93"/>
      <c r="B227" s="94"/>
      <c r="C227" s="93"/>
      <c r="D227" s="93"/>
      <c r="E227" s="93"/>
      <c r="F227" s="93"/>
      <c r="G227" s="93"/>
      <c r="H227" s="93"/>
      <c r="I227" s="93"/>
      <c r="J227" s="31">
        <f aca="true" t="shared" si="42" ref="J227:Q227">+J225+J226</f>
        <v>0</v>
      </c>
      <c r="K227" s="31">
        <f t="shared" si="42"/>
        <v>0</v>
      </c>
      <c r="L227" s="31">
        <f t="shared" si="42"/>
        <v>0</v>
      </c>
      <c r="M227" s="31">
        <f t="shared" si="42"/>
        <v>0</v>
      </c>
      <c r="N227" s="31">
        <f t="shared" si="42"/>
        <v>0</v>
      </c>
      <c r="O227" s="31">
        <f t="shared" si="42"/>
        <v>0</v>
      </c>
      <c r="P227" s="31">
        <f t="shared" si="42"/>
        <v>0</v>
      </c>
      <c r="Q227" s="31">
        <f t="shared" si="42"/>
        <v>0</v>
      </c>
      <c r="R227" s="93"/>
    </row>
    <row r="228" spans="1:18" ht="12.75">
      <c r="A228" s="22" t="s">
        <v>282</v>
      </c>
      <c r="B228" s="64"/>
      <c r="C228" s="7"/>
      <c r="D228" s="7"/>
      <c r="E228" s="7"/>
      <c r="F228" s="7"/>
      <c r="G228" s="7"/>
      <c r="H228" s="7"/>
      <c r="I228" s="7"/>
      <c r="J228" s="8"/>
      <c r="K228" s="8"/>
      <c r="L228" s="8"/>
      <c r="M228" s="8"/>
      <c r="N228" s="8"/>
      <c r="O228" s="8"/>
      <c r="P228" s="8"/>
      <c r="Q228" s="8"/>
      <c r="R228" s="7"/>
    </row>
    <row r="229" spans="1:18" ht="12.75">
      <c r="A229" s="7"/>
      <c r="B229" s="64"/>
      <c r="C229" s="7"/>
      <c r="D229" s="7"/>
      <c r="E229" s="7"/>
      <c r="F229" s="7"/>
      <c r="G229" s="7"/>
      <c r="H229" s="7"/>
      <c r="I229" s="7"/>
      <c r="J229" s="13">
        <f>+M155</f>
        <v>0</v>
      </c>
      <c r="K229" s="7"/>
      <c r="L229" s="7"/>
      <c r="M229" s="13">
        <f>+J229+K229-L229</f>
        <v>0</v>
      </c>
      <c r="N229" s="40">
        <f>(+J229+M229)/2*12.5/100</f>
        <v>0</v>
      </c>
      <c r="O229" s="13">
        <f>+N229</f>
        <v>0</v>
      </c>
      <c r="P229" s="13">
        <v>0</v>
      </c>
      <c r="Q229" s="13">
        <v>0</v>
      </c>
      <c r="R229" s="7"/>
    </row>
    <row r="230" spans="1:18" ht="12.75">
      <c r="A230" s="7"/>
      <c r="B230" s="64"/>
      <c r="C230" s="7"/>
      <c r="D230" s="7"/>
      <c r="E230" s="7"/>
      <c r="F230" s="7"/>
      <c r="G230" s="7"/>
      <c r="H230" s="7"/>
      <c r="I230" s="7"/>
      <c r="J230" s="13">
        <f>+M156</f>
        <v>0</v>
      </c>
      <c r="K230" s="7"/>
      <c r="L230" s="7"/>
      <c r="M230" s="13">
        <f>+J230+K230-L230</f>
        <v>0</v>
      </c>
      <c r="N230" s="40">
        <f>(+J230+M230)/2*12.5/100</f>
        <v>0</v>
      </c>
      <c r="O230" s="13">
        <f>+N230</f>
        <v>0</v>
      </c>
      <c r="P230" s="13">
        <v>0</v>
      </c>
      <c r="Q230" s="13">
        <v>0</v>
      </c>
      <c r="R230" s="7"/>
    </row>
    <row r="231" spans="1:18" ht="12.75">
      <c r="A231" s="93"/>
      <c r="B231" s="94"/>
      <c r="C231" s="93"/>
      <c r="D231" s="93"/>
      <c r="E231" s="93"/>
      <c r="F231" s="93"/>
      <c r="G231" s="93"/>
      <c r="H231" s="93"/>
      <c r="I231" s="93"/>
      <c r="J231" s="31">
        <f aca="true" t="shared" si="43" ref="J231:Q231">+J229+J230</f>
        <v>0</v>
      </c>
      <c r="K231" s="31">
        <f t="shared" si="43"/>
        <v>0</v>
      </c>
      <c r="L231" s="31">
        <f t="shared" si="43"/>
        <v>0</v>
      </c>
      <c r="M231" s="31">
        <f t="shared" si="43"/>
        <v>0</v>
      </c>
      <c r="N231" s="31">
        <f t="shared" si="43"/>
        <v>0</v>
      </c>
      <c r="O231" s="31">
        <f t="shared" si="43"/>
        <v>0</v>
      </c>
      <c r="P231" s="31">
        <f t="shared" si="43"/>
        <v>0</v>
      </c>
      <c r="Q231" s="31">
        <f t="shared" si="43"/>
        <v>0</v>
      </c>
      <c r="R231" s="93"/>
    </row>
    <row r="232" spans="1:18" ht="12.75">
      <c r="A232" s="22" t="s">
        <v>283</v>
      </c>
      <c r="B232" s="64"/>
      <c r="C232" s="7"/>
      <c r="D232" s="7"/>
      <c r="E232" s="7"/>
      <c r="F232" s="7"/>
      <c r="G232" s="7"/>
      <c r="H232" s="7"/>
      <c r="I232" s="7"/>
      <c r="J232" s="8"/>
      <c r="K232" s="8"/>
      <c r="L232" s="8"/>
      <c r="M232" s="8"/>
      <c r="N232" s="8"/>
      <c r="O232" s="8"/>
      <c r="P232" s="8"/>
      <c r="Q232" s="8"/>
      <c r="R232" s="7"/>
    </row>
    <row r="233" spans="1:18" ht="12.75">
      <c r="A233" s="7"/>
      <c r="B233" s="64"/>
      <c r="C233" s="7"/>
      <c r="D233" s="7"/>
      <c r="E233" s="7"/>
      <c r="F233" s="7"/>
      <c r="G233" s="7"/>
      <c r="H233" s="7"/>
      <c r="I233" s="7"/>
      <c r="J233" s="13">
        <f>+M159</f>
        <v>0</v>
      </c>
      <c r="K233" s="7"/>
      <c r="L233" s="7"/>
      <c r="M233" s="13">
        <f>+J233+K233-L233</f>
        <v>0</v>
      </c>
      <c r="N233" s="40">
        <f>(+J233+M233)/2*12.5/100</f>
        <v>0</v>
      </c>
      <c r="O233" s="13">
        <f>+N233</f>
        <v>0</v>
      </c>
      <c r="P233" s="13">
        <v>0</v>
      </c>
      <c r="Q233" s="13">
        <v>0</v>
      </c>
      <c r="R233" s="7"/>
    </row>
    <row r="234" spans="1:18" ht="12.75">
      <c r="A234" s="7"/>
      <c r="B234" s="64"/>
      <c r="C234" s="7"/>
      <c r="D234" s="7"/>
      <c r="E234" s="7"/>
      <c r="F234" s="7"/>
      <c r="G234" s="7"/>
      <c r="H234" s="7"/>
      <c r="I234" s="7"/>
      <c r="J234" s="13">
        <f>+M160</f>
        <v>0</v>
      </c>
      <c r="K234" s="7"/>
      <c r="L234" s="7"/>
      <c r="M234" s="13">
        <f>+J234+K234-L234</f>
        <v>0</v>
      </c>
      <c r="N234" s="40">
        <f>(+J234+M234)/2*12.5/100</f>
        <v>0</v>
      </c>
      <c r="O234" s="13">
        <f>+N234</f>
        <v>0</v>
      </c>
      <c r="P234" s="13">
        <v>0</v>
      </c>
      <c r="Q234" s="13">
        <v>0</v>
      </c>
      <c r="R234" s="7"/>
    </row>
    <row r="235" spans="1:18" ht="12.75">
      <c r="A235" s="93"/>
      <c r="B235" s="94"/>
      <c r="C235" s="93"/>
      <c r="D235" s="93"/>
      <c r="E235" s="93"/>
      <c r="F235" s="93"/>
      <c r="G235" s="93"/>
      <c r="H235" s="93"/>
      <c r="I235" s="93"/>
      <c r="J235" s="31">
        <f aca="true" t="shared" si="44" ref="J235:Q235">+J233+J234</f>
        <v>0</v>
      </c>
      <c r="K235" s="31">
        <f t="shared" si="44"/>
        <v>0</v>
      </c>
      <c r="L235" s="31">
        <f t="shared" si="44"/>
        <v>0</v>
      </c>
      <c r="M235" s="31">
        <f t="shared" si="44"/>
        <v>0</v>
      </c>
      <c r="N235" s="31">
        <f t="shared" si="44"/>
        <v>0</v>
      </c>
      <c r="O235" s="31">
        <f t="shared" si="44"/>
        <v>0</v>
      </c>
      <c r="P235" s="31">
        <f t="shared" si="44"/>
        <v>0</v>
      </c>
      <c r="Q235" s="31">
        <f t="shared" si="44"/>
        <v>0</v>
      </c>
      <c r="R235" s="93"/>
    </row>
    <row r="236" spans="1:18" ht="12.75">
      <c r="A236" s="22" t="s">
        <v>284</v>
      </c>
      <c r="B236" s="64"/>
      <c r="C236" s="7"/>
      <c r="D236" s="7"/>
      <c r="E236" s="7"/>
      <c r="F236" s="7"/>
      <c r="G236" s="7"/>
      <c r="H236" s="7"/>
      <c r="I236" s="7"/>
      <c r="J236" s="7"/>
      <c r="K236" s="7"/>
      <c r="L236" s="7"/>
      <c r="M236" s="7"/>
      <c r="N236" s="7"/>
      <c r="O236" s="7"/>
      <c r="P236" s="7"/>
      <c r="Q236" s="7"/>
      <c r="R236" s="7"/>
    </row>
    <row r="237" spans="1:18" ht="12.75">
      <c r="A237" s="7"/>
      <c r="B237" s="92">
        <v>53.301</v>
      </c>
      <c r="C237" s="7" t="s">
        <v>285</v>
      </c>
      <c r="D237" s="7"/>
      <c r="E237" s="7"/>
      <c r="F237" s="7"/>
      <c r="G237" s="7"/>
      <c r="H237" s="7"/>
      <c r="I237" s="7"/>
      <c r="J237" s="13">
        <f aca="true" t="shared" si="45" ref="J237:J262">+M163</f>
        <v>5300.69</v>
      </c>
      <c r="K237" s="84">
        <v>2069.09</v>
      </c>
      <c r="L237" s="7">
        <v>655.9</v>
      </c>
      <c r="M237" s="13">
        <f aca="true" t="shared" si="46" ref="M237:M258">+J237+K237-L237</f>
        <v>6713.88</v>
      </c>
      <c r="N237" s="40">
        <f>(+J237+M237)/2*11/100</f>
        <v>660.80135</v>
      </c>
      <c r="O237" s="13">
        <f aca="true" t="shared" si="47" ref="O237:O262">+N237</f>
        <v>660.80135</v>
      </c>
      <c r="P237" s="13">
        <v>0</v>
      </c>
      <c r="Q237" s="13">
        <v>0</v>
      </c>
      <c r="R237" s="7"/>
    </row>
    <row r="238" spans="1:18" ht="12.75">
      <c r="A238" s="7"/>
      <c r="B238" s="92">
        <v>53.71</v>
      </c>
      <c r="C238" s="7" t="s">
        <v>286</v>
      </c>
      <c r="D238" s="7"/>
      <c r="E238" s="7"/>
      <c r="F238" s="7"/>
      <c r="G238" s="7"/>
      <c r="H238" s="7"/>
      <c r="I238" s="7"/>
      <c r="J238" s="13">
        <f t="shared" si="45"/>
        <v>488.02999999999975</v>
      </c>
      <c r="K238" s="84">
        <v>274.53</v>
      </c>
      <c r="L238" s="7">
        <v>64.87</v>
      </c>
      <c r="M238" s="13">
        <f t="shared" si="46"/>
        <v>697.6899999999997</v>
      </c>
      <c r="N238" s="40">
        <f aca="true" t="shared" si="48" ref="N238:N262">(+J238+M238)/2*11/100</f>
        <v>65.21459999999996</v>
      </c>
      <c r="O238" s="13">
        <f t="shared" si="47"/>
        <v>65.21459999999996</v>
      </c>
      <c r="P238" s="13">
        <v>0</v>
      </c>
      <c r="Q238" s="13">
        <v>0</v>
      </c>
      <c r="R238" s="7"/>
    </row>
    <row r="239" spans="1:18" ht="12.75">
      <c r="A239" s="7"/>
      <c r="B239" s="64">
        <v>53.722</v>
      </c>
      <c r="C239" s="7" t="s">
        <v>290</v>
      </c>
      <c r="D239" s="7"/>
      <c r="E239" s="7"/>
      <c r="F239" s="7"/>
      <c r="G239" s="7"/>
      <c r="H239" s="7"/>
      <c r="I239" s="7"/>
      <c r="J239" s="13">
        <f t="shared" si="45"/>
        <v>-0.009999999999997122</v>
      </c>
      <c r="K239" s="84"/>
      <c r="L239" s="7"/>
      <c r="M239" s="13">
        <f t="shared" si="46"/>
        <v>-0.009999999999997122</v>
      </c>
      <c r="N239" s="40">
        <f t="shared" si="48"/>
        <v>-0.0010999999999996835</v>
      </c>
      <c r="O239" s="13">
        <f t="shared" si="47"/>
        <v>-0.0010999999999996835</v>
      </c>
      <c r="P239" s="13">
        <v>0</v>
      </c>
      <c r="Q239" s="13">
        <v>0</v>
      </c>
      <c r="R239" s="7"/>
    </row>
    <row r="240" spans="1:18" ht="12.75">
      <c r="A240" s="7"/>
      <c r="B240" s="64">
        <v>53.723</v>
      </c>
      <c r="C240" s="7" t="s">
        <v>291</v>
      </c>
      <c r="D240" s="7"/>
      <c r="E240" s="7"/>
      <c r="F240" s="7"/>
      <c r="G240" s="7"/>
      <c r="H240" s="7"/>
      <c r="I240" s="7"/>
      <c r="J240" s="13">
        <f t="shared" si="45"/>
        <v>0</v>
      </c>
      <c r="K240" s="84"/>
      <c r="L240" s="13"/>
      <c r="M240" s="13">
        <f t="shared" si="46"/>
        <v>0</v>
      </c>
      <c r="N240" s="40">
        <f t="shared" si="48"/>
        <v>0</v>
      </c>
      <c r="O240" s="13">
        <f t="shared" si="47"/>
        <v>0</v>
      </c>
      <c r="P240" s="13">
        <v>0</v>
      </c>
      <c r="Q240" s="13">
        <v>0</v>
      </c>
      <c r="R240" s="7"/>
    </row>
    <row r="241" spans="1:18" ht="12.75">
      <c r="A241" s="7"/>
      <c r="B241" s="92">
        <v>53.765</v>
      </c>
      <c r="C241" s="7" t="s">
        <v>292</v>
      </c>
      <c r="D241" s="7"/>
      <c r="E241" s="7"/>
      <c r="F241" s="7"/>
      <c r="G241" s="7"/>
      <c r="H241" s="7"/>
      <c r="I241" s="7"/>
      <c r="J241" s="13">
        <f t="shared" si="45"/>
        <v>40.470000000000006</v>
      </c>
      <c r="K241" s="84"/>
      <c r="L241" s="7"/>
      <c r="M241" s="13">
        <f t="shared" si="46"/>
        <v>40.470000000000006</v>
      </c>
      <c r="N241" s="40">
        <f t="shared" si="48"/>
        <v>4.451700000000001</v>
      </c>
      <c r="O241" s="13">
        <f t="shared" si="47"/>
        <v>4.451700000000001</v>
      </c>
      <c r="P241" s="13">
        <v>0</v>
      </c>
      <c r="Q241" s="13">
        <v>0</v>
      </c>
      <c r="R241" s="7"/>
    </row>
    <row r="242" spans="1:18" ht="12.75">
      <c r="A242" s="7"/>
      <c r="B242" s="92">
        <v>53.73</v>
      </c>
      <c r="C242" s="7" t="s">
        <v>389</v>
      </c>
      <c r="D242" s="7"/>
      <c r="E242" s="7"/>
      <c r="F242" s="7"/>
      <c r="G242" s="7"/>
      <c r="H242" s="7"/>
      <c r="I242" s="7"/>
      <c r="J242" s="13">
        <f t="shared" si="45"/>
        <v>0</v>
      </c>
      <c r="K242" s="84"/>
      <c r="L242" s="7"/>
      <c r="M242" s="13">
        <f t="shared" si="46"/>
        <v>0</v>
      </c>
      <c r="N242" s="40">
        <f t="shared" si="48"/>
        <v>0</v>
      </c>
      <c r="O242" s="13">
        <f t="shared" si="47"/>
        <v>0</v>
      </c>
      <c r="P242" s="13">
        <v>0</v>
      </c>
      <c r="Q242" s="13">
        <v>0</v>
      </c>
      <c r="R242" s="7"/>
    </row>
    <row r="243" spans="1:18" ht="12.75">
      <c r="A243" s="7"/>
      <c r="B243" s="64">
        <v>53.745</v>
      </c>
      <c r="C243" s="7" t="s">
        <v>293</v>
      </c>
      <c r="D243" s="7"/>
      <c r="E243" s="7"/>
      <c r="F243" s="7"/>
      <c r="G243" s="7"/>
      <c r="H243" s="7"/>
      <c r="I243" s="7"/>
      <c r="J243" s="13">
        <f t="shared" si="45"/>
        <v>55.91999999999998</v>
      </c>
      <c r="K243" s="84">
        <v>7.47</v>
      </c>
      <c r="L243" s="13">
        <v>52.63</v>
      </c>
      <c r="M243" s="13">
        <f t="shared" si="46"/>
        <v>10.759999999999977</v>
      </c>
      <c r="N243" s="40">
        <f t="shared" si="48"/>
        <v>3.667399999999997</v>
      </c>
      <c r="O243" s="13">
        <f t="shared" si="47"/>
        <v>3.667399999999997</v>
      </c>
      <c r="P243" s="13">
        <v>0</v>
      </c>
      <c r="Q243" s="13">
        <v>0</v>
      </c>
      <c r="R243" s="7"/>
    </row>
    <row r="244" spans="1:18" ht="12.75">
      <c r="A244" s="7"/>
      <c r="B244" s="64">
        <v>53.746</v>
      </c>
      <c r="C244" s="7" t="s">
        <v>294</v>
      </c>
      <c r="D244" s="7"/>
      <c r="E244" s="7"/>
      <c r="F244" s="7"/>
      <c r="G244" s="7"/>
      <c r="H244" s="7"/>
      <c r="I244" s="7"/>
      <c r="J244" s="13">
        <f t="shared" si="45"/>
        <v>12.859999999999994</v>
      </c>
      <c r="K244" s="84"/>
      <c r="L244" s="7"/>
      <c r="M244" s="13">
        <f t="shared" si="46"/>
        <v>12.859999999999994</v>
      </c>
      <c r="N244" s="40">
        <f t="shared" si="48"/>
        <v>1.4145999999999992</v>
      </c>
      <c r="O244" s="13">
        <f t="shared" si="47"/>
        <v>1.4145999999999992</v>
      </c>
      <c r="P244" s="13">
        <v>0</v>
      </c>
      <c r="Q244" s="13">
        <v>0</v>
      </c>
      <c r="R244" s="7"/>
    </row>
    <row r="245" spans="1:18" ht="12.75">
      <c r="A245" s="7"/>
      <c r="B245" s="64">
        <v>53.755</v>
      </c>
      <c r="C245" s="7" t="s">
        <v>295</v>
      </c>
      <c r="D245" s="7"/>
      <c r="E245" s="7"/>
      <c r="F245" s="7"/>
      <c r="G245" s="7"/>
      <c r="H245" s="7"/>
      <c r="I245" s="7"/>
      <c r="J245" s="13">
        <f t="shared" si="45"/>
        <v>0</v>
      </c>
      <c r="K245" s="84"/>
      <c r="L245" s="7"/>
      <c r="M245" s="13">
        <f t="shared" si="46"/>
        <v>0</v>
      </c>
      <c r="N245" s="40">
        <f t="shared" si="48"/>
        <v>0</v>
      </c>
      <c r="O245" s="13">
        <f t="shared" si="47"/>
        <v>0</v>
      </c>
      <c r="P245" s="13">
        <v>0</v>
      </c>
      <c r="Q245" s="13">
        <v>0</v>
      </c>
      <c r="R245" s="7"/>
    </row>
    <row r="246" spans="1:18" ht="12.75">
      <c r="A246" s="7"/>
      <c r="B246" s="64">
        <v>53.756</v>
      </c>
      <c r="C246" s="7" t="s">
        <v>296</v>
      </c>
      <c r="D246" s="7"/>
      <c r="E246" s="7"/>
      <c r="F246" s="7"/>
      <c r="G246" s="7"/>
      <c r="H246" s="7"/>
      <c r="I246" s="7"/>
      <c r="J246" s="13">
        <f t="shared" si="45"/>
        <v>0</v>
      </c>
      <c r="K246" s="84"/>
      <c r="L246" s="7"/>
      <c r="M246" s="13">
        <f t="shared" si="46"/>
        <v>0</v>
      </c>
      <c r="N246" s="40">
        <f t="shared" si="48"/>
        <v>0</v>
      </c>
      <c r="O246" s="13">
        <f t="shared" si="47"/>
        <v>0</v>
      </c>
      <c r="P246" s="13">
        <v>0</v>
      </c>
      <c r="Q246" s="13">
        <v>0</v>
      </c>
      <c r="R246" s="7"/>
    </row>
    <row r="247" spans="1:18" ht="12.75">
      <c r="A247" s="7"/>
      <c r="B247" s="64">
        <v>53.764</v>
      </c>
      <c r="C247" s="7" t="s">
        <v>297</v>
      </c>
      <c r="D247" s="7"/>
      <c r="E247" s="7"/>
      <c r="F247" s="7"/>
      <c r="G247" s="7"/>
      <c r="H247" s="7"/>
      <c r="I247" s="7"/>
      <c r="J247" s="13">
        <f t="shared" si="45"/>
        <v>-0.0010000000000047748</v>
      </c>
      <c r="K247" s="84"/>
      <c r="L247" s="7"/>
      <c r="M247" s="13">
        <f t="shared" si="46"/>
        <v>-0.0010000000000047748</v>
      </c>
      <c r="N247" s="40">
        <f t="shared" si="48"/>
        <v>-0.00011000000000052523</v>
      </c>
      <c r="O247" s="13">
        <f t="shared" si="47"/>
        <v>-0.00011000000000052523</v>
      </c>
      <c r="P247" s="13">
        <v>0</v>
      </c>
      <c r="Q247" s="13">
        <v>0</v>
      </c>
      <c r="R247" s="7"/>
    </row>
    <row r="248" spans="1:18" ht="12.75">
      <c r="A248" s="7"/>
      <c r="B248" s="64">
        <v>53.766</v>
      </c>
      <c r="C248" s="7" t="s">
        <v>298</v>
      </c>
      <c r="D248" s="7"/>
      <c r="E248" s="7"/>
      <c r="F248" s="7"/>
      <c r="G248" s="7"/>
      <c r="H248" s="7"/>
      <c r="I248" s="7"/>
      <c r="J248" s="13">
        <f t="shared" si="45"/>
        <v>0</v>
      </c>
      <c r="K248" s="84"/>
      <c r="L248" s="7"/>
      <c r="M248" s="13">
        <f t="shared" si="46"/>
        <v>0</v>
      </c>
      <c r="N248" s="40">
        <f t="shared" si="48"/>
        <v>0</v>
      </c>
      <c r="O248" s="13">
        <f t="shared" si="47"/>
        <v>0</v>
      </c>
      <c r="P248" s="13">
        <v>0</v>
      </c>
      <c r="Q248" s="13">
        <v>0</v>
      </c>
      <c r="R248" s="7"/>
    </row>
    <row r="249" spans="1:18" ht="12.75">
      <c r="A249" s="7"/>
      <c r="B249" s="64">
        <v>53.767</v>
      </c>
      <c r="C249" s="7" t="s">
        <v>299</v>
      </c>
      <c r="D249" s="7"/>
      <c r="E249" s="7"/>
      <c r="F249" s="7"/>
      <c r="G249" s="7"/>
      <c r="H249" s="7"/>
      <c r="I249" s="7"/>
      <c r="J249" s="13">
        <f t="shared" si="45"/>
        <v>0</v>
      </c>
      <c r="K249" s="84"/>
      <c r="L249" s="13"/>
      <c r="M249" s="13">
        <f t="shared" si="46"/>
        <v>0</v>
      </c>
      <c r="N249" s="40">
        <f t="shared" si="48"/>
        <v>0</v>
      </c>
      <c r="O249" s="13">
        <f t="shared" si="47"/>
        <v>0</v>
      </c>
      <c r="P249" s="13">
        <v>0</v>
      </c>
      <c r="Q249" s="13">
        <v>0</v>
      </c>
      <c r="R249" s="7"/>
    </row>
    <row r="250" spans="1:18" ht="12.75">
      <c r="A250" s="7"/>
      <c r="B250" s="64">
        <v>73.768</v>
      </c>
      <c r="C250" s="7" t="s">
        <v>300</v>
      </c>
      <c r="D250" s="7"/>
      <c r="E250" s="7"/>
      <c r="F250" s="7"/>
      <c r="G250" s="7"/>
      <c r="H250" s="7"/>
      <c r="I250" s="7"/>
      <c r="J250" s="13">
        <f t="shared" si="45"/>
        <v>3.885780586188048E-15</v>
      </c>
      <c r="K250" s="84"/>
      <c r="L250" s="7"/>
      <c r="M250" s="13">
        <f t="shared" si="46"/>
        <v>3.885780586188048E-15</v>
      </c>
      <c r="N250" s="40">
        <f t="shared" si="48"/>
        <v>4.274358644806853E-16</v>
      </c>
      <c r="O250" s="13">
        <f t="shared" si="47"/>
        <v>4.274358644806853E-16</v>
      </c>
      <c r="P250" s="13">
        <v>0</v>
      </c>
      <c r="Q250" s="13">
        <v>0</v>
      </c>
      <c r="R250" s="7"/>
    </row>
    <row r="251" spans="1:18" ht="12.75">
      <c r="A251" s="7"/>
      <c r="B251" s="92">
        <v>53.769</v>
      </c>
      <c r="C251" s="7" t="s">
        <v>301</v>
      </c>
      <c r="D251" s="7"/>
      <c r="E251" s="7"/>
      <c r="F251" s="7"/>
      <c r="G251" s="7"/>
      <c r="H251" s="7"/>
      <c r="I251" s="7"/>
      <c r="J251" s="13">
        <f t="shared" si="45"/>
        <v>0</v>
      </c>
      <c r="K251" s="84"/>
      <c r="L251" s="7"/>
      <c r="M251" s="13">
        <f t="shared" si="46"/>
        <v>0</v>
      </c>
      <c r="N251" s="40">
        <f t="shared" si="48"/>
        <v>0</v>
      </c>
      <c r="O251" s="13">
        <f t="shared" si="47"/>
        <v>0</v>
      </c>
      <c r="P251" s="13">
        <v>0</v>
      </c>
      <c r="Q251" s="13">
        <v>0</v>
      </c>
      <c r="R251" s="7"/>
    </row>
    <row r="252" spans="1:18" ht="12.75">
      <c r="A252" s="7"/>
      <c r="B252" s="92">
        <v>53.77</v>
      </c>
      <c r="C252" s="7" t="s">
        <v>302</v>
      </c>
      <c r="D252" s="7"/>
      <c r="E252" s="7"/>
      <c r="F252" s="7"/>
      <c r="G252" s="7"/>
      <c r="H252" s="7"/>
      <c r="I252" s="7"/>
      <c r="J252" s="13">
        <f t="shared" si="45"/>
        <v>0</v>
      </c>
      <c r="K252" s="84"/>
      <c r="L252" s="7"/>
      <c r="M252" s="13">
        <f t="shared" si="46"/>
        <v>0</v>
      </c>
      <c r="N252" s="40">
        <f t="shared" si="48"/>
        <v>0</v>
      </c>
      <c r="O252" s="13">
        <f t="shared" si="47"/>
        <v>0</v>
      </c>
      <c r="P252" s="13">
        <v>0</v>
      </c>
      <c r="Q252" s="13">
        <v>0</v>
      </c>
      <c r="R252" s="7"/>
    </row>
    <row r="253" spans="1:18" ht="12.75">
      <c r="A253" s="7"/>
      <c r="B253" s="64">
        <v>53.771</v>
      </c>
      <c r="C253" s="7" t="s">
        <v>303</v>
      </c>
      <c r="D253" s="7"/>
      <c r="E253" s="7"/>
      <c r="F253" s="7"/>
      <c r="G253" s="7"/>
      <c r="H253" s="7"/>
      <c r="I253" s="7"/>
      <c r="J253" s="13">
        <f t="shared" si="45"/>
        <v>0</v>
      </c>
      <c r="K253" s="84"/>
      <c r="L253" s="7"/>
      <c r="M253" s="13">
        <f t="shared" si="46"/>
        <v>0</v>
      </c>
      <c r="N253" s="40">
        <f t="shared" si="48"/>
        <v>0</v>
      </c>
      <c r="O253" s="13">
        <f t="shared" si="47"/>
        <v>0</v>
      </c>
      <c r="P253" s="13">
        <v>0</v>
      </c>
      <c r="Q253" s="13">
        <v>0</v>
      </c>
      <c r="R253" s="7"/>
    </row>
    <row r="254" spans="1:18" ht="12.75">
      <c r="A254" s="7"/>
      <c r="B254" s="64">
        <v>53.774</v>
      </c>
      <c r="C254" s="7" t="s">
        <v>304</v>
      </c>
      <c r="D254" s="7"/>
      <c r="E254" s="7"/>
      <c r="F254" s="7"/>
      <c r="G254" s="7"/>
      <c r="H254" s="7"/>
      <c r="I254" s="7"/>
      <c r="J254" s="13">
        <f t="shared" si="45"/>
        <v>0</v>
      </c>
      <c r="K254" s="84"/>
      <c r="L254" s="13"/>
      <c r="M254" s="13">
        <f t="shared" si="46"/>
        <v>0</v>
      </c>
      <c r="N254" s="40">
        <f t="shared" si="48"/>
        <v>0</v>
      </c>
      <c r="O254" s="13">
        <f t="shared" si="47"/>
        <v>0</v>
      </c>
      <c r="P254" s="13">
        <v>0</v>
      </c>
      <c r="Q254" s="13">
        <v>0</v>
      </c>
      <c r="R254" s="7"/>
    </row>
    <row r="255" spans="1:18" ht="12.75">
      <c r="A255" s="7"/>
      <c r="B255" s="64">
        <v>53.775</v>
      </c>
      <c r="C255" s="7" t="s">
        <v>305</v>
      </c>
      <c r="D255" s="7"/>
      <c r="E255" s="7"/>
      <c r="F255" s="7"/>
      <c r="G255" s="7"/>
      <c r="H255" s="7"/>
      <c r="I255" s="7"/>
      <c r="J255" s="13">
        <f t="shared" si="45"/>
        <v>0</v>
      </c>
      <c r="K255" s="84"/>
      <c r="L255" s="7"/>
      <c r="M255" s="13">
        <f t="shared" si="46"/>
        <v>0</v>
      </c>
      <c r="N255" s="40">
        <f t="shared" si="48"/>
        <v>0</v>
      </c>
      <c r="O255" s="13">
        <f t="shared" si="47"/>
        <v>0</v>
      </c>
      <c r="P255" s="13">
        <v>0</v>
      </c>
      <c r="Q255" s="13">
        <v>0</v>
      </c>
      <c r="R255" s="7"/>
    </row>
    <row r="256" spans="1:18" ht="12.75">
      <c r="A256" s="7"/>
      <c r="B256" s="64">
        <v>53.531</v>
      </c>
      <c r="C256" s="7" t="s">
        <v>306</v>
      </c>
      <c r="D256" s="7"/>
      <c r="E256" s="7"/>
      <c r="F256" s="7"/>
      <c r="G256" s="7"/>
      <c r="H256" s="7"/>
      <c r="I256" s="7"/>
      <c r="J256" s="13">
        <f t="shared" si="45"/>
        <v>130.78000000000003</v>
      </c>
      <c r="K256" s="84">
        <v>82.86</v>
      </c>
      <c r="L256" s="7">
        <v>16.6</v>
      </c>
      <c r="M256" s="13">
        <f t="shared" si="46"/>
        <v>197.04000000000005</v>
      </c>
      <c r="N256" s="40">
        <f t="shared" si="48"/>
        <v>18.0301</v>
      </c>
      <c r="O256" s="13">
        <f t="shared" si="47"/>
        <v>18.0301</v>
      </c>
      <c r="P256" s="13">
        <v>0</v>
      </c>
      <c r="Q256" s="13">
        <v>0</v>
      </c>
      <c r="R256" s="7"/>
    </row>
    <row r="257" spans="1:18" ht="12.75">
      <c r="A257" s="7"/>
      <c r="B257" s="64">
        <v>53.776</v>
      </c>
      <c r="C257" s="7" t="s">
        <v>307</v>
      </c>
      <c r="D257" s="7"/>
      <c r="E257" s="7"/>
      <c r="F257" s="7"/>
      <c r="G257" s="7"/>
      <c r="H257" s="7"/>
      <c r="I257" s="7"/>
      <c r="J257" s="13">
        <f t="shared" si="45"/>
        <v>0</v>
      </c>
      <c r="K257" s="84"/>
      <c r="L257" s="7"/>
      <c r="M257" s="13">
        <f t="shared" si="46"/>
        <v>0</v>
      </c>
      <c r="N257" s="40">
        <f t="shared" si="48"/>
        <v>0</v>
      </c>
      <c r="O257" s="13">
        <f t="shared" si="47"/>
        <v>0</v>
      </c>
      <c r="P257" s="13">
        <v>0</v>
      </c>
      <c r="Q257" s="13">
        <v>0</v>
      </c>
      <c r="R257" s="7"/>
    </row>
    <row r="258" spans="1:18" ht="12.75">
      <c r="A258" s="7"/>
      <c r="B258" s="64">
        <v>53.777</v>
      </c>
      <c r="C258" s="7" t="s">
        <v>390</v>
      </c>
      <c r="D258" s="7"/>
      <c r="E258" s="7"/>
      <c r="F258" s="7"/>
      <c r="G258" s="7"/>
      <c r="H258" s="7"/>
      <c r="I258" s="7"/>
      <c r="J258" s="13">
        <f t="shared" si="45"/>
        <v>45.38000000000001</v>
      </c>
      <c r="K258" s="84"/>
      <c r="L258" s="7"/>
      <c r="M258" s="13">
        <f t="shared" si="46"/>
        <v>45.38000000000001</v>
      </c>
      <c r="N258" s="40">
        <f t="shared" si="48"/>
        <v>4.991800000000001</v>
      </c>
      <c r="O258" s="13">
        <f t="shared" si="47"/>
        <v>4.991800000000001</v>
      </c>
      <c r="P258" s="13">
        <v>0</v>
      </c>
      <c r="Q258" s="13">
        <v>0</v>
      </c>
      <c r="R258" s="7"/>
    </row>
    <row r="259" spans="1:18" ht="12.75">
      <c r="A259" s="7"/>
      <c r="B259" s="64">
        <v>53.778</v>
      </c>
      <c r="C259" s="7" t="s">
        <v>486</v>
      </c>
      <c r="D259" s="7"/>
      <c r="E259" s="7"/>
      <c r="F259" s="7"/>
      <c r="G259" s="7"/>
      <c r="H259" s="7"/>
      <c r="I259" s="7"/>
      <c r="J259" s="13">
        <f t="shared" si="45"/>
        <v>36.37</v>
      </c>
      <c r="K259" s="84"/>
      <c r="L259" s="7"/>
      <c r="M259" s="13">
        <f>+J259+K259-L259</f>
        <v>36.37</v>
      </c>
      <c r="N259" s="40">
        <f t="shared" si="48"/>
        <v>4.0007</v>
      </c>
      <c r="O259" s="13">
        <f>+N259</f>
        <v>4.0007</v>
      </c>
      <c r="P259" s="13">
        <v>0</v>
      </c>
      <c r="Q259" s="13">
        <v>0</v>
      </c>
      <c r="R259" s="7"/>
    </row>
    <row r="260" spans="1:18" ht="12.75">
      <c r="A260" s="7"/>
      <c r="B260" s="64">
        <v>53.749</v>
      </c>
      <c r="C260" s="7" t="s">
        <v>487</v>
      </c>
      <c r="D260" s="7"/>
      <c r="E260" s="7"/>
      <c r="F260" s="7"/>
      <c r="G260" s="7"/>
      <c r="H260" s="7"/>
      <c r="I260" s="7"/>
      <c r="J260" s="13">
        <f t="shared" si="45"/>
        <v>95.44</v>
      </c>
      <c r="K260" s="84"/>
      <c r="L260" s="7"/>
      <c r="M260" s="13">
        <f>+J260+K260-L260</f>
        <v>95.44</v>
      </c>
      <c r="N260" s="40">
        <f t="shared" si="48"/>
        <v>10.498399999999998</v>
      </c>
      <c r="O260" s="13">
        <f>+N260</f>
        <v>10.498399999999998</v>
      </c>
      <c r="P260" s="13">
        <v>0</v>
      </c>
      <c r="Q260" s="13">
        <v>0</v>
      </c>
      <c r="R260" s="7"/>
    </row>
    <row r="261" spans="1:18" ht="12.75">
      <c r="A261" s="7"/>
      <c r="B261" s="64"/>
      <c r="C261" s="7" t="s">
        <v>488</v>
      </c>
      <c r="D261" s="7"/>
      <c r="E261" s="7"/>
      <c r="F261" s="7"/>
      <c r="G261" s="7"/>
      <c r="H261" s="7"/>
      <c r="I261" s="7"/>
      <c r="J261" s="13">
        <f t="shared" si="45"/>
        <v>86.1</v>
      </c>
      <c r="K261" s="84"/>
      <c r="L261" s="7"/>
      <c r="M261" s="13">
        <f>+J261+K261-L261</f>
        <v>86.1</v>
      </c>
      <c r="N261" s="40">
        <f t="shared" si="48"/>
        <v>9.470999999999998</v>
      </c>
      <c r="O261" s="13">
        <f>+N261</f>
        <v>9.470999999999998</v>
      </c>
      <c r="P261" s="13">
        <v>0</v>
      </c>
      <c r="Q261" s="13">
        <v>0</v>
      </c>
      <c r="R261" s="7"/>
    </row>
    <row r="262" spans="1:18" ht="12.75">
      <c r="A262" s="7"/>
      <c r="B262" s="64"/>
      <c r="C262" s="7" t="s">
        <v>410</v>
      </c>
      <c r="D262" s="7"/>
      <c r="E262" s="7"/>
      <c r="F262" s="7"/>
      <c r="G262" s="7"/>
      <c r="H262" s="7"/>
      <c r="I262" s="7"/>
      <c r="J262" s="13">
        <f t="shared" si="45"/>
        <v>0</v>
      </c>
      <c r="K262" s="84"/>
      <c r="L262" s="7"/>
      <c r="M262" s="13">
        <f>+J262+K262-L262</f>
        <v>0</v>
      </c>
      <c r="N262" s="40">
        <f t="shared" si="48"/>
        <v>0</v>
      </c>
      <c r="O262" s="13">
        <f t="shared" si="47"/>
        <v>0</v>
      </c>
      <c r="P262" s="13">
        <v>0</v>
      </c>
      <c r="Q262" s="13">
        <v>0</v>
      </c>
      <c r="R262" s="7"/>
    </row>
    <row r="263" spans="1:18" ht="12.75">
      <c r="A263" s="93"/>
      <c r="B263" s="94"/>
      <c r="C263" s="93"/>
      <c r="D263" s="93"/>
      <c r="E263" s="93"/>
      <c r="F263" s="93"/>
      <c r="G263" s="93"/>
      <c r="H263" s="93"/>
      <c r="I263" s="93"/>
      <c r="J263" s="31">
        <f aca="true" t="shared" si="49" ref="J263:Q263">SUM(J237:J262)</f>
        <v>6292.028999999999</v>
      </c>
      <c r="K263" s="31">
        <f t="shared" si="49"/>
        <v>2433.95</v>
      </c>
      <c r="L263" s="31">
        <f t="shared" si="49"/>
        <v>790</v>
      </c>
      <c r="M263" s="31">
        <f t="shared" si="49"/>
        <v>7935.978999999999</v>
      </c>
      <c r="N263" s="31">
        <f t="shared" si="49"/>
        <v>782.54044</v>
      </c>
      <c r="O263" s="31">
        <f t="shared" si="49"/>
        <v>782.54044</v>
      </c>
      <c r="P263" s="31">
        <f t="shared" si="49"/>
        <v>0</v>
      </c>
      <c r="Q263" s="31">
        <f t="shared" si="49"/>
        <v>0</v>
      </c>
      <c r="R263" s="93"/>
    </row>
    <row r="264" spans="1:18" ht="12.75">
      <c r="A264" s="30"/>
      <c r="B264" s="95"/>
      <c r="C264" s="30"/>
      <c r="D264" s="30"/>
      <c r="E264" s="30"/>
      <c r="F264" s="30"/>
      <c r="G264" s="30"/>
      <c r="H264" s="30"/>
      <c r="I264" s="30"/>
      <c r="J264" s="31">
        <f aca="true" t="shared" si="50" ref="J264:Q264">+J227+J231+J235+J263</f>
        <v>6292.028999999999</v>
      </c>
      <c r="K264" s="31">
        <f t="shared" si="50"/>
        <v>2433.95</v>
      </c>
      <c r="L264" s="31">
        <f t="shared" si="50"/>
        <v>790</v>
      </c>
      <c r="M264" s="31">
        <f t="shared" si="50"/>
        <v>7935.978999999999</v>
      </c>
      <c r="N264" s="31">
        <f t="shared" si="50"/>
        <v>782.54044</v>
      </c>
      <c r="O264" s="31">
        <f t="shared" si="50"/>
        <v>782.54044</v>
      </c>
      <c r="P264" s="31">
        <f t="shared" si="50"/>
        <v>0</v>
      </c>
      <c r="Q264" s="31">
        <f t="shared" si="50"/>
        <v>0</v>
      </c>
      <c r="R264" s="30"/>
    </row>
    <row r="265" spans="1:18" ht="15.75">
      <c r="A265" s="102" t="s">
        <v>287</v>
      </c>
      <c r="B265" s="64"/>
      <c r="C265" s="7"/>
      <c r="D265" s="7"/>
      <c r="E265" s="7"/>
      <c r="F265" s="7"/>
      <c r="G265" s="7"/>
      <c r="H265" s="7"/>
      <c r="I265" s="7"/>
      <c r="J265" s="7"/>
      <c r="K265" s="7"/>
      <c r="L265" s="7"/>
      <c r="M265" s="7"/>
      <c r="N265" s="7"/>
      <c r="O265" s="7"/>
      <c r="P265" s="7"/>
      <c r="Q265" s="7"/>
      <c r="R265" s="7"/>
    </row>
    <row r="266" spans="1:18" ht="12.75">
      <c r="A266" s="22" t="s">
        <v>281</v>
      </c>
      <c r="B266" s="64"/>
      <c r="C266" s="7"/>
      <c r="D266" s="7"/>
      <c r="E266" s="7"/>
      <c r="F266" s="7"/>
      <c r="G266" s="7"/>
      <c r="H266" s="7"/>
      <c r="I266" s="7"/>
      <c r="J266" s="8"/>
      <c r="K266" s="8"/>
      <c r="L266" s="8"/>
      <c r="M266" s="8"/>
      <c r="N266" s="8"/>
      <c r="O266" s="8"/>
      <c r="P266" s="8"/>
      <c r="Q266" s="8"/>
      <c r="R266" s="7"/>
    </row>
    <row r="267" spans="1:18" ht="12.75">
      <c r="A267" s="22"/>
      <c r="B267" s="64"/>
      <c r="C267" s="7" t="s">
        <v>402</v>
      </c>
      <c r="D267" s="7"/>
      <c r="E267" s="7"/>
      <c r="F267" s="7"/>
      <c r="G267" s="7"/>
      <c r="H267" s="7"/>
      <c r="I267" s="7"/>
      <c r="J267" s="40">
        <f>+M193</f>
        <v>0</v>
      </c>
      <c r="K267" s="8"/>
      <c r="L267" s="40"/>
      <c r="M267" s="13">
        <f>+J267+K267-L267</f>
        <v>0</v>
      </c>
      <c r="N267" s="40">
        <f>(+J267+M267)/2*12.5/100</f>
        <v>0</v>
      </c>
      <c r="O267" s="13">
        <f>+N267</f>
        <v>0</v>
      </c>
      <c r="P267" s="13">
        <v>0</v>
      </c>
      <c r="Q267" s="13">
        <v>0</v>
      </c>
      <c r="R267" s="7"/>
    </row>
    <row r="268" spans="1:18" ht="12.75">
      <c r="A268" s="22"/>
      <c r="B268" s="64"/>
      <c r="C268" s="7" t="s">
        <v>403</v>
      </c>
      <c r="D268" s="7"/>
      <c r="E268" s="7"/>
      <c r="F268" s="7"/>
      <c r="G268" s="7"/>
      <c r="H268" s="7"/>
      <c r="I268" s="7"/>
      <c r="J268" s="40">
        <f>+M194</f>
        <v>0</v>
      </c>
      <c r="K268" s="8"/>
      <c r="L268" s="40"/>
      <c r="M268" s="13">
        <f>+J268+K268-L268</f>
        <v>0</v>
      </c>
      <c r="N268" s="40">
        <f>(+J268+M268)/2*12.5/100</f>
        <v>0</v>
      </c>
      <c r="O268" s="13">
        <f>+N268</f>
        <v>0</v>
      </c>
      <c r="P268" s="13">
        <v>0</v>
      </c>
      <c r="Q268" s="13">
        <v>0</v>
      </c>
      <c r="R268" s="7"/>
    </row>
    <row r="269" spans="1:18" ht="12.75">
      <c r="A269" s="22"/>
      <c r="B269" s="64"/>
      <c r="C269" s="7" t="s">
        <v>404</v>
      </c>
      <c r="D269" s="7"/>
      <c r="E269" s="7"/>
      <c r="F269" s="7"/>
      <c r="G269" s="7"/>
      <c r="H269" s="7"/>
      <c r="I269" s="7"/>
      <c r="J269" s="40">
        <f>+M195</f>
        <v>0</v>
      </c>
      <c r="K269" s="8"/>
      <c r="L269" s="40"/>
      <c r="M269" s="13">
        <f>+J269+K269-L269</f>
        <v>0</v>
      </c>
      <c r="N269" s="40">
        <f>(+J269+M269)/2*12.5/100</f>
        <v>0</v>
      </c>
      <c r="O269" s="13">
        <f>+N269</f>
        <v>0</v>
      </c>
      <c r="P269" s="13">
        <v>0</v>
      </c>
      <c r="Q269" s="13">
        <v>0</v>
      </c>
      <c r="R269" s="7"/>
    </row>
    <row r="270" spans="1:18" ht="12.75">
      <c r="A270" s="7"/>
      <c r="B270" s="64"/>
      <c r="C270" s="7" t="s">
        <v>405</v>
      </c>
      <c r="D270" s="7"/>
      <c r="E270" s="7"/>
      <c r="F270" s="7"/>
      <c r="G270" s="7"/>
      <c r="H270" s="7"/>
      <c r="I270" s="7"/>
      <c r="J270" s="40">
        <f>+M196</f>
        <v>0</v>
      </c>
      <c r="K270" s="13"/>
      <c r="L270" s="13"/>
      <c r="M270" s="13">
        <f>+J270+K270-L270</f>
        <v>0</v>
      </c>
      <c r="N270" s="40">
        <f>(+J270+M270)/2*12.5/100</f>
        <v>0</v>
      </c>
      <c r="O270" s="13">
        <f>+N270</f>
        <v>0</v>
      </c>
      <c r="P270" s="13">
        <v>0</v>
      </c>
      <c r="Q270" s="13">
        <v>0</v>
      </c>
      <c r="R270" s="7"/>
    </row>
    <row r="271" spans="1:18" ht="12.75">
      <c r="A271" s="93"/>
      <c r="B271" s="94"/>
      <c r="C271" s="93"/>
      <c r="D271" s="93"/>
      <c r="E271" s="93"/>
      <c r="F271" s="93"/>
      <c r="G271" s="93"/>
      <c r="H271" s="93"/>
      <c r="I271" s="93"/>
      <c r="J271" s="31">
        <f aca="true" t="shared" si="51" ref="J271:Q271">+J267+J268+J269</f>
        <v>0</v>
      </c>
      <c r="K271" s="31">
        <f t="shared" si="51"/>
        <v>0</v>
      </c>
      <c r="L271" s="31">
        <f t="shared" si="51"/>
        <v>0</v>
      </c>
      <c r="M271" s="31">
        <f t="shared" si="51"/>
        <v>0</v>
      </c>
      <c r="N271" s="31">
        <f t="shared" si="51"/>
        <v>0</v>
      </c>
      <c r="O271" s="31">
        <f t="shared" si="51"/>
        <v>0</v>
      </c>
      <c r="P271" s="31">
        <f t="shared" si="51"/>
        <v>0</v>
      </c>
      <c r="Q271" s="31">
        <f t="shared" si="51"/>
        <v>0</v>
      </c>
      <c r="R271" s="93"/>
    </row>
    <row r="272" spans="1:18" ht="12.75">
      <c r="A272" s="22" t="s">
        <v>282</v>
      </c>
      <c r="B272" s="64"/>
      <c r="C272" s="7"/>
      <c r="D272" s="7"/>
      <c r="E272" s="7"/>
      <c r="F272" s="7"/>
      <c r="G272" s="7"/>
      <c r="H272" s="7"/>
      <c r="I272" s="7"/>
      <c r="J272" s="8"/>
      <c r="K272" s="8"/>
      <c r="L272" s="8"/>
      <c r="M272" s="8"/>
      <c r="N272" s="8"/>
      <c r="O272" s="8"/>
      <c r="P272" s="8"/>
      <c r="Q272" s="8"/>
      <c r="R272" s="7"/>
    </row>
    <row r="273" spans="1:18" ht="12.75">
      <c r="A273" s="7"/>
      <c r="B273" s="64"/>
      <c r="C273" s="7"/>
      <c r="D273" s="7"/>
      <c r="E273" s="7"/>
      <c r="F273" s="7"/>
      <c r="G273" s="7"/>
      <c r="H273" s="7"/>
      <c r="I273" s="7"/>
      <c r="J273" s="13">
        <f>+M199</f>
        <v>0</v>
      </c>
      <c r="K273" s="7"/>
      <c r="L273" s="7"/>
      <c r="M273" s="13">
        <f>+J273+K273-L273</f>
        <v>0</v>
      </c>
      <c r="N273" s="40">
        <f>(+J273+M273)/2*12.5/100</f>
        <v>0</v>
      </c>
      <c r="O273" s="13">
        <f>+N273</f>
        <v>0</v>
      </c>
      <c r="P273" s="13">
        <v>0</v>
      </c>
      <c r="Q273" s="13">
        <v>0</v>
      </c>
      <c r="R273" s="7"/>
    </row>
    <row r="274" spans="1:18" ht="12.75">
      <c r="A274" s="7"/>
      <c r="B274" s="64"/>
      <c r="C274" s="7"/>
      <c r="D274" s="7"/>
      <c r="E274" s="7"/>
      <c r="F274" s="7"/>
      <c r="G274" s="7"/>
      <c r="H274" s="7"/>
      <c r="I274" s="7"/>
      <c r="J274" s="13">
        <f>+M200</f>
        <v>0</v>
      </c>
      <c r="K274" s="7"/>
      <c r="L274" s="7"/>
      <c r="M274" s="13">
        <f>+J274+K274-L274</f>
        <v>0</v>
      </c>
      <c r="N274" s="40">
        <f>(+J274+M274)/2*12.5/100</f>
        <v>0</v>
      </c>
      <c r="O274" s="13">
        <f>+N274</f>
        <v>0</v>
      </c>
      <c r="P274" s="13">
        <v>0</v>
      </c>
      <c r="Q274" s="13">
        <v>0</v>
      </c>
      <c r="R274" s="7"/>
    </row>
    <row r="275" spans="1:18" ht="12.75">
      <c r="A275" s="93"/>
      <c r="B275" s="94"/>
      <c r="C275" s="93"/>
      <c r="D275" s="93"/>
      <c r="E275" s="93"/>
      <c r="F275" s="93"/>
      <c r="G275" s="93"/>
      <c r="H275" s="93"/>
      <c r="I275" s="93"/>
      <c r="J275" s="31">
        <f aca="true" t="shared" si="52" ref="J275:Q275">+J273+J274</f>
        <v>0</v>
      </c>
      <c r="K275" s="31">
        <f t="shared" si="52"/>
        <v>0</v>
      </c>
      <c r="L275" s="31">
        <f t="shared" si="52"/>
        <v>0</v>
      </c>
      <c r="M275" s="31">
        <f t="shared" si="52"/>
        <v>0</v>
      </c>
      <c r="N275" s="31">
        <f t="shared" si="52"/>
        <v>0</v>
      </c>
      <c r="O275" s="31">
        <f t="shared" si="52"/>
        <v>0</v>
      </c>
      <c r="P275" s="31">
        <f t="shared" si="52"/>
        <v>0</v>
      </c>
      <c r="Q275" s="31">
        <f t="shared" si="52"/>
        <v>0</v>
      </c>
      <c r="R275" s="93"/>
    </row>
    <row r="276" spans="1:18" ht="12.75">
      <c r="A276" s="22" t="s">
        <v>283</v>
      </c>
      <c r="B276" s="64"/>
      <c r="C276" s="7"/>
      <c r="D276" s="7"/>
      <c r="E276" s="7"/>
      <c r="F276" s="7"/>
      <c r="G276" s="7"/>
      <c r="H276" s="7"/>
      <c r="I276" s="7"/>
      <c r="J276" s="8"/>
      <c r="K276" s="8"/>
      <c r="L276" s="8"/>
      <c r="M276" s="8"/>
      <c r="N276" s="8"/>
      <c r="O276" s="8"/>
      <c r="P276" s="8"/>
      <c r="Q276" s="8"/>
      <c r="R276" s="7"/>
    </row>
    <row r="277" spans="1:18" ht="12.75">
      <c r="A277" s="7"/>
      <c r="B277" s="92">
        <v>54.2</v>
      </c>
      <c r="C277" s="7" t="s">
        <v>321</v>
      </c>
      <c r="D277" s="7"/>
      <c r="E277" s="7"/>
      <c r="F277" s="7"/>
      <c r="G277" s="7"/>
      <c r="H277" s="7"/>
      <c r="I277" s="7"/>
      <c r="J277" s="13">
        <f>+M203</f>
        <v>272.37999999999994</v>
      </c>
      <c r="K277" s="84"/>
      <c r="L277" s="84"/>
      <c r="M277" s="13">
        <f>+J277+K277-L277</f>
        <v>272.37999999999994</v>
      </c>
      <c r="N277" s="40">
        <f>(+J277+M277)/2*10/100</f>
        <v>27.237999999999992</v>
      </c>
      <c r="O277" s="13">
        <f>+N277</f>
        <v>27.237999999999992</v>
      </c>
      <c r="P277" s="13">
        <v>0</v>
      </c>
      <c r="Q277" s="13">
        <v>0</v>
      </c>
      <c r="R277" s="7"/>
    </row>
    <row r="278" spans="1:18" ht="12.75">
      <c r="A278" s="7"/>
      <c r="B278" s="92"/>
      <c r="C278" s="33" t="s">
        <v>492</v>
      </c>
      <c r="D278" s="7"/>
      <c r="E278" s="7"/>
      <c r="F278" s="7"/>
      <c r="G278" s="7"/>
      <c r="H278" s="7"/>
      <c r="I278" s="7"/>
      <c r="J278" s="13">
        <f>+M204</f>
        <v>410.06</v>
      </c>
      <c r="K278" s="84">
        <v>240.71</v>
      </c>
      <c r="L278" s="84">
        <v>42.46</v>
      </c>
      <c r="M278" s="13">
        <f>+J278+K278-L278</f>
        <v>608.31</v>
      </c>
      <c r="N278" s="40">
        <f>(+J278+M278)/2*1.72/100</f>
        <v>8.757981999999998</v>
      </c>
      <c r="O278" s="13">
        <f>+N278</f>
        <v>8.757981999999998</v>
      </c>
      <c r="P278" s="13">
        <v>0</v>
      </c>
      <c r="Q278" s="13">
        <v>0</v>
      </c>
      <c r="R278" s="7"/>
    </row>
    <row r="279" spans="1:18" ht="12.75">
      <c r="A279" s="7"/>
      <c r="B279" s="92"/>
      <c r="C279" s="33" t="s">
        <v>493</v>
      </c>
      <c r="D279" s="7"/>
      <c r="E279" s="7"/>
      <c r="F279" s="7"/>
      <c r="G279" s="7"/>
      <c r="H279" s="7"/>
      <c r="I279" s="7"/>
      <c r="J279" s="13">
        <f>+M205</f>
        <v>596.79</v>
      </c>
      <c r="K279" s="84">
        <v>0</v>
      </c>
      <c r="L279" s="84">
        <v>63.42</v>
      </c>
      <c r="M279" s="13">
        <f>+J279+K279-L279</f>
        <v>533.37</v>
      </c>
      <c r="N279" s="40">
        <f>(+J279+M279)/2*10/100</f>
        <v>56.507999999999996</v>
      </c>
      <c r="O279" s="13">
        <f>+N279</f>
        <v>56.507999999999996</v>
      </c>
      <c r="P279" s="13">
        <v>0</v>
      </c>
      <c r="Q279" s="13">
        <v>0</v>
      </c>
      <c r="R279" s="7"/>
    </row>
    <row r="280" spans="1:18" ht="12.75">
      <c r="A280" s="7"/>
      <c r="B280" s="92"/>
      <c r="C280" s="158" t="s">
        <v>494</v>
      </c>
      <c r="D280" s="7"/>
      <c r="E280" s="7"/>
      <c r="F280" s="7"/>
      <c r="G280" s="7"/>
      <c r="H280" s="7"/>
      <c r="I280" s="7"/>
      <c r="J280" s="13">
        <f>+M206</f>
        <v>654.2599999999999</v>
      </c>
      <c r="K280" s="84">
        <v>72</v>
      </c>
      <c r="L280" s="84">
        <v>38.71</v>
      </c>
      <c r="M280" s="13">
        <f>+J280+K280-L280</f>
        <v>687.5499999999998</v>
      </c>
      <c r="N280" s="40">
        <f>(+J280+M280)/2*10/100</f>
        <v>67.09049999999998</v>
      </c>
      <c r="O280" s="13">
        <f>+N280</f>
        <v>67.09049999999998</v>
      </c>
      <c r="P280" s="13">
        <v>0</v>
      </c>
      <c r="Q280" s="13">
        <v>0</v>
      </c>
      <c r="R280" s="7"/>
    </row>
    <row r="281" spans="1:18" ht="12.75">
      <c r="A281" s="93"/>
      <c r="B281" s="94"/>
      <c r="C281" s="93"/>
      <c r="D281" s="93"/>
      <c r="E281" s="93"/>
      <c r="F281" s="93"/>
      <c r="G281" s="93"/>
      <c r="H281" s="93"/>
      <c r="I281" s="93"/>
      <c r="J281" s="31">
        <f>SUM(J277:J280)</f>
        <v>1933.4899999999998</v>
      </c>
      <c r="K281" s="31">
        <f aca="true" t="shared" si="53" ref="K281:Q281">SUM(K277:K280)</f>
        <v>312.71000000000004</v>
      </c>
      <c r="L281" s="31">
        <f t="shared" si="53"/>
        <v>144.59</v>
      </c>
      <c r="M281" s="31">
        <f t="shared" si="53"/>
        <v>2101.6099999999997</v>
      </c>
      <c r="N281" s="31">
        <f t="shared" si="53"/>
        <v>159.59448199999997</v>
      </c>
      <c r="O281" s="31">
        <f t="shared" si="53"/>
        <v>159.59448199999997</v>
      </c>
      <c r="P281" s="31">
        <f t="shared" si="53"/>
        <v>0</v>
      </c>
      <c r="Q281" s="31">
        <f t="shared" si="53"/>
        <v>0</v>
      </c>
      <c r="R281" s="93"/>
    </row>
    <row r="282" spans="1:18" ht="12.75">
      <c r="A282" s="22" t="s">
        <v>284</v>
      </c>
      <c r="B282" s="64"/>
      <c r="C282" s="7"/>
      <c r="D282" s="7"/>
      <c r="E282" s="7"/>
      <c r="F282" s="7"/>
      <c r="G282" s="7"/>
      <c r="H282" s="7"/>
      <c r="I282" s="7"/>
      <c r="J282" s="7"/>
      <c r="K282" s="7"/>
      <c r="L282" s="7"/>
      <c r="M282" s="7"/>
      <c r="N282" s="7"/>
      <c r="O282" s="7"/>
      <c r="P282" s="7"/>
      <c r="Q282" s="7"/>
      <c r="R282" s="7"/>
    </row>
    <row r="283" spans="1:18" ht="12.75">
      <c r="A283" s="7"/>
      <c r="B283" s="92">
        <v>52.501</v>
      </c>
      <c r="C283" s="7" t="s">
        <v>308</v>
      </c>
      <c r="D283" s="7"/>
      <c r="E283" s="7"/>
      <c r="F283" s="7"/>
      <c r="G283" s="7"/>
      <c r="H283" s="7"/>
      <c r="I283" s="7"/>
      <c r="J283" s="13">
        <f>+M209</f>
        <v>0</v>
      </c>
      <c r="K283" s="7"/>
      <c r="L283" s="7"/>
      <c r="M283" s="13">
        <f>+J283+K283-L283</f>
        <v>0</v>
      </c>
      <c r="N283" s="40">
        <f>(+J283+M283)/2*12.5/100</f>
        <v>0</v>
      </c>
      <c r="O283" s="13">
        <f>+N283</f>
        <v>0</v>
      </c>
      <c r="P283" s="13">
        <v>0</v>
      </c>
      <c r="Q283" s="13">
        <v>0</v>
      </c>
      <c r="R283" s="7"/>
    </row>
    <row r="284" spans="1:18" ht="12.75">
      <c r="A284" s="7"/>
      <c r="B284" s="92">
        <v>53.61</v>
      </c>
      <c r="C284" s="7" t="s">
        <v>309</v>
      </c>
      <c r="D284" s="7"/>
      <c r="E284" s="7"/>
      <c r="F284" s="7"/>
      <c r="G284" s="7"/>
      <c r="H284" s="7"/>
      <c r="I284" s="7"/>
      <c r="J284" s="13">
        <f>+M210</f>
        <v>0</v>
      </c>
      <c r="K284" s="7"/>
      <c r="L284" s="7"/>
      <c r="M284" s="13">
        <f>+J284+K284-L284</f>
        <v>0</v>
      </c>
      <c r="N284" s="40">
        <f>(+J284+M284)/2*12.5/100</f>
        <v>0</v>
      </c>
      <c r="O284" s="13">
        <f>+N284</f>
        <v>0</v>
      </c>
      <c r="P284" s="13">
        <v>0</v>
      </c>
      <c r="Q284" s="13">
        <v>0</v>
      </c>
      <c r="R284" s="7"/>
    </row>
    <row r="285" spans="1:18" ht="12.75">
      <c r="A285" s="7"/>
      <c r="B285" s="92"/>
      <c r="C285" s="7" t="s">
        <v>409</v>
      </c>
      <c r="D285" s="7"/>
      <c r="E285" s="7"/>
      <c r="F285" s="7"/>
      <c r="G285" s="7"/>
      <c r="H285" s="7"/>
      <c r="I285" s="7"/>
      <c r="J285" s="13"/>
      <c r="K285" s="7"/>
      <c r="L285" s="7"/>
      <c r="M285" s="13">
        <f>+J285+K285-L285</f>
        <v>0</v>
      </c>
      <c r="N285" s="40">
        <f>(+J285+M285)/2*12.5/100</f>
        <v>0</v>
      </c>
      <c r="O285" s="13">
        <f>+N285</f>
        <v>0</v>
      </c>
      <c r="P285" s="13">
        <v>0</v>
      </c>
      <c r="Q285" s="13">
        <v>0</v>
      </c>
      <c r="R285" s="7"/>
    </row>
    <row r="286" spans="1:18" ht="12.75">
      <c r="A286" s="93"/>
      <c r="B286" s="94"/>
      <c r="C286" s="93"/>
      <c r="D286" s="93"/>
      <c r="E286" s="93"/>
      <c r="F286" s="93"/>
      <c r="G286" s="93"/>
      <c r="H286" s="93"/>
      <c r="I286" s="93"/>
      <c r="J286" s="31">
        <f>SUM(J283:J285)</f>
        <v>0</v>
      </c>
      <c r="K286" s="31">
        <f aca="true" t="shared" si="54" ref="K286:Q286">SUM(K283:K285)</f>
        <v>0</v>
      </c>
      <c r="L286" s="31">
        <f t="shared" si="54"/>
        <v>0</v>
      </c>
      <c r="M286" s="31">
        <f t="shared" si="54"/>
        <v>0</v>
      </c>
      <c r="N286" s="31">
        <f t="shared" si="54"/>
        <v>0</v>
      </c>
      <c r="O286" s="31">
        <f t="shared" si="54"/>
        <v>0</v>
      </c>
      <c r="P286" s="31">
        <f t="shared" si="54"/>
        <v>0</v>
      </c>
      <c r="Q286" s="31">
        <f t="shared" si="54"/>
        <v>0</v>
      </c>
      <c r="R286" s="93"/>
    </row>
    <row r="287" spans="1:18" ht="12.75">
      <c r="A287" s="30"/>
      <c r="B287" s="95"/>
      <c r="C287" s="30"/>
      <c r="D287" s="30"/>
      <c r="E287" s="30"/>
      <c r="F287" s="30"/>
      <c r="G287" s="30"/>
      <c r="H287" s="30"/>
      <c r="I287" s="30"/>
      <c r="J287" s="31">
        <f aca="true" t="shared" si="55" ref="J287:Q287">+J271+J275+J281+J286</f>
        <v>1933.4899999999998</v>
      </c>
      <c r="K287" s="31">
        <f t="shared" si="55"/>
        <v>312.71000000000004</v>
      </c>
      <c r="L287" s="31">
        <f t="shared" si="55"/>
        <v>144.59</v>
      </c>
      <c r="M287" s="31">
        <f t="shared" si="55"/>
        <v>2101.6099999999997</v>
      </c>
      <c r="N287" s="31">
        <f t="shared" si="55"/>
        <v>159.59448199999997</v>
      </c>
      <c r="O287" s="31">
        <f t="shared" si="55"/>
        <v>159.59448199999997</v>
      </c>
      <c r="P287" s="31">
        <f t="shared" si="55"/>
        <v>0</v>
      </c>
      <c r="Q287" s="31">
        <f t="shared" si="55"/>
        <v>0</v>
      </c>
      <c r="R287" s="30"/>
    </row>
    <row r="288" spans="1:18" ht="12.75">
      <c r="A288" s="30"/>
      <c r="B288" s="95"/>
      <c r="C288" s="30"/>
      <c r="D288" s="30"/>
      <c r="E288" s="30"/>
      <c r="F288" s="30"/>
      <c r="G288" s="30"/>
      <c r="H288" s="30"/>
      <c r="I288" s="30"/>
      <c r="J288" s="31">
        <f aca="true" t="shared" si="56" ref="J288:Q288">+J264+J287</f>
        <v>8225.518999999998</v>
      </c>
      <c r="K288" s="31">
        <f t="shared" si="56"/>
        <v>2746.66</v>
      </c>
      <c r="L288" s="31">
        <f t="shared" si="56"/>
        <v>934.59</v>
      </c>
      <c r="M288" s="31">
        <f t="shared" si="56"/>
        <v>10037.589</v>
      </c>
      <c r="N288" s="31">
        <f t="shared" si="56"/>
        <v>942.134922</v>
      </c>
      <c r="O288" s="31">
        <f t="shared" si="56"/>
        <v>942.134922</v>
      </c>
      <c r="P288" s="31">
        <f t="shared" si="56"/>
        <v>0</v>
      </c>
      <c r="Q288" s="31">
        <f t="shared" si="56"/>
        <v>0</v>
      </c>
      <c r="R288" s="31"/>
    </row>
    <row r="289" ht="12.75">
      <c r="L289">
        <v>18.38</v>
      </c>
    </row>
    <row r="290" spans="10:13" ht="12.75">
      <c r="J290" s="15" t="s">
        <v>516</v>
      </c>
      <c r="M290">
        <v>1570</v>
      </c>
    </row>
    <row r="291" spans="10:13" ht="12.75">
      <c r="J291" s="15" t="s">
        <v>517</v>
      </c>
      <c r="M291" s="20">
        <f>M288-M290</f>
        <v>8467.589</v>
      </c>
    </row>
    <row r="294" spans="1:18" ht="12.75">
      <c r="A294" s="316" t="s">
        <v>479</v>
      </c>
      <c r="B294" s="90"/>
      <c r="C294" s="10"/>
      <c r="D294" s="9"/>
      <c r="E294" s="10"/>
      <c r="F294" s="10"/>
      <c r="G294" s="10"/>
      <c r="H294" s="10"/>
      <c r="I294" s="91"/>
      <c r="J294" s="10"/>
      <c r="K294" s="10"/>
      <c r="L294" s="10"/>
      <c r="M294" s="10"/>
      <c r="N294" s="10"/>
      <c r="O294" s="10"/>
      <c r="P294" s="10"/>
      <c r="Q294" s="62" t="s">
        <v>251</v>
      </c>
      <c r="R294" s="10"/>
    </row>
    <row r="295" spans="1:18" ht="56.25">
      <c r="A295" s="270" t="s">
        <v>252</v>
      </c>
      <c r="B295" s="270" t="s">
        <v>278</v>
      </c>
      <c r="C295" s="270" t="s">
        <v>311</v>
      </c>
      <c r="D295" s="270" t="s">
        <v>279</v>
      </c>
      <c r="E295" s="270" t="s">
        <v>255</v>
      </c>
      <c r="F295" s="270" t="s">
        <v>280</v>
      </c>
      <c r="G295" s="270" t="s">
        <v>261</v>
      </c>
      <c r="H295" s="270" t="s">
        <v>310</v>
      </c>
      <c r="I295" s="271" t="s">
        <v>262</v>
      </c>
      <c r="J295" s="270" t="s">
        <v>263</v>
      </c>
      <c r="K295" s="270" t="s">
        <v>264</v>
      </c>
      <c r="L295" s="270" t="s">
        <v>265</v>
      </c>
      <c r="M295" s="270" t="s">
        <v>266</v>
      </c>
      <c r="N295" s="270" t="s">
        <v>267</v>
      </c>
      <c r="O295" s="270" t="s">
        <v>268</v>
      </c>
      <c r="P295" s="270" t="s">
        <v>269</v>
      </c>
      <c r="Q295" s="270" t="s">
        <v>270</v>
      </c>
      <c r="R295" s="270" t="s">
        <v>107</v>
      </c>
    </row>
    <row r="296" spans="1:18" ht="15.75">
      <c r="A296" s="102" t="s">
        <v>288</v>
      </c>
      <c r="B296" s="64"/>
      <c r="C296" s="7"/>
      <c r="D296" s="7"/>
      <c r="E296" s="7"/>
      <c r="F296" s="7"/>
      <c r="G296" s="7"/>
      <c r="H296" s="7"/>
      <c r="I296" s="7"/>
      <c r="J296" s="8"/>
      <c r="K296" s="8"/>
      <c r="L296" s="8"/>
      <c r="M296" s="8"/>
      <c r="N296" s="8"/>
      <c r="O296" s="8"/>
      <c r="P296" s="8"/>
      <c r="Q296" s="8"/>
      <c r="R296" s="7"/>
    </row>
    <row r="297" spans="1:18" ht="12.75">
      <c r="A297" s="22" t="s">
        <v>281</v>
      </c>
      <c r="B297" s="64"/>
      <c r="C297" s="7"/>
      <c r="D297" s="7"/>
      <c r="E297" s="7"/>
      <c r="F297" s="7"/>
      <c r="G297" s="7"/>
      <c r="H297" s="7"/>
      <c r="I297" s="7"/>
      <c r="J297" s="8"/>
      <c r="K297" s="8"/>
      <c r="L297" s="8"/>
      <c r="M297" s="8"/>
      <c r="N297" s="8"/>
      <c r="O297" s="8"/>
      <c r="P297" s="8"/>
      <c r="Q297" s="8"/>
      <c r="R297" s="7"/>
    </row>
    <row r="298" spans="1:18" ht="12.75">
      <c r="A298" s="7"/>
      <c r="B298" s="64"/>
      <c r="C298" s="7" t="s">
        <v>410</v>
      </c>
      <c r="D298" s="7"/>
      <c r="E298" s="7"/>
      <c r="F298" s="7"/>
      <c r="G298" s="7"/>
      <c r="H298" s="7"/>
      <c r="I298" s="7"/>
      <c r="J298" s="13">
        <f>+M225</f>
        <v>0</v>
      </c>
      <c r="K298" s="7"/>
      <c r="L298" s="7"/>
      <c r="M298" s="13">
        <f>+J298+K298-L298</f>
        <v>0</v>
      </c>
      <c r="N298" s="40">
        <f>(+J298+M298)/2*12.5/100</f>
        <v>0</v>
      </c>
      <c r="O298" s="13">
        <f>+N298</f>
        <v>0</v>
      </c>
      <c r="P298" s="13">
        <v>0</v>
      </c>
      <c r="Q298" s="13">
        <v>0</v>
      </c>
      <c r="R298" s="7"/>
    </row>
    <row r="299" spans="1:18" ht="12.75">
      <c r="A299" s="7"/>
      <c r="B299" s="64"/>
      <c r="C299" s="7"/>
      <c r="D299" s="7"/>
      <c r="E299" s="7"/>
      <c r="F299" s="7"/>
      <c r="G299" s="7"/>
      <c r="H299" s="7"/>
      <c r="I299" s="7"/>
      <c r="J299" s="13">
        <f>+M226</f>
        <v>0</v>
      </c>
      <c r="K299" s="7"/>
      <c r="L299" s="7"/>
      <c r="M299" s="13">
        <f>+J299+K299-L299</f>
        <v>0</v>
      </c>
      <c r="N299" s="40">
        <f>(+J299+M299)/2*12.5/100</f>
        <v>0</v>
      </c>
      <c r="O299" s="13">
        <f>+N299</f>
        <v>0</v>
      </c>
      <c r="P299" s="13">
        <v>0</v>
      </c>
      <c r="Q299" s="13">
        <v>0</v>
      </c>
      <c r="R299" s="7"/>
    </row>
    <row r="300" spans="1:18" ht="12.75">
      <c r="A300" s="93"/>
      <c r="B300" s="94"/>
      <c r="C300" s="93"/>
      <c r="D300" s="93"/>
      <c r="E300" s="93"/>
      <c r="F300" s="93"/>
      <c r="G300" s="93"/>
      <c r="H300" s="93"/>
      <c r="I300" s="93"/>
      <c r="J300" s="31">
        <f aca="true" t="shared" si="57" ref="J300:Q300">+J298+J299</f>
        <v>0</v>
      </c>
      <c r="K300" s="31">
        <f t="shared" si="57"/>
        <v>0</v>
      </c>
      <c r="L300" s="31">
        <f t="shared" si="57"/>
        <v>0</v>
      </c>
      <c r="M300" s="31">
        <f t="shared" si="57"/>
        <v>0</v>
      </c>
      <c r="N300" s="31">
        <f t="shared" si="57"/>
        <v>0</v>
      </c>
      <c r="O300" s="31">
        <f t="shared" si="57"/>
        <v>0</v>
      </c>
      <c r="P300" s="31">
        <f t="shared" si="57"/>
        <v>0</v>
      </c>
      <c r="Q300" s="31">
        <f t="shared" si="57"/>
        <v>0</v>
      </c>
      <c r="R300" s="93"/>
    </row>
    <row r="301" spans="1:18" ht="12.75">
      <c r="A301" s="22" t="s">
        <v>282</v>
      </c>
      <c r="B301" s="64"/>
      <c r="C301" s="7"/>
      <c r="D301" s="7"/>
      <c r="E301" s="7"/>
      <c r="F301" s="7"/>
      <c r="G301" s="7"/>
      <c r="H301" s="7"/>
      <c r="I301" s="7"/>
      <c r="J301" s="8"/>
      <c r="K301" s="8"/>
      <c r="L301" s="8"/>
      <c r="M301" s="8"/>
      <c r="N301" s="8"/>
      <c r="O301" s="8"/>
      <c r="P301" s="8"/>
      <c r="Q301" s="8"/>
      <c r="R301" s="7"/>
    </row>
    <row r="302" spans="1:18" ht="12.75">
      <c r="A302" s="7"/>
      <c r="B302" s="64"/>
      <c r="C302" s="7"/>
      <c r="D302" s="7"/>
      <c r="E302" s="7"/>
      <c r="F302" s="7"/>
      <c r="G302" s="7"/>
      <c r="H302" s="7"/>
      <c r="I302" s="7"/>
      <c r="J302" s="13">
        <f>+M229</f>
        <v>0</v>
      </c>
      <c r="K302" s="7"/>
      <c r="L302" s="7"/>
      <c r="M302" s="13">
        <f>+J302+K302-L302</f>
        <v>0</v>
      </c>
      <c r="N302" s="40">
        <f>(+J302+M302)/2*12.5/100</f>
        <v>0</v>
      </c>
      <c r="O302" s="13">
        <f>+N302</f>
        <v>0</v>
      </c>
      <c r="P302" s="13">
        <v>0</v>
      </c>
      <c r="Q302" s="13">
        <v>0</v>
      </c>
      <c r="R302" s="7"/>
    </row>
    <row r="303" spans="1:18" ht="12.75">
      <c r="A303" s="7"/>
      <c r="B303" s="64"/>
      <c r="C303" s="7"/>
      <c r="D303" s="7"/>
      <c r="E303" s="7"/>
      <c r="F303" s="7"/>
      <c r="G303" s="7"/>
      <c r="H303" s="7"/>
      <c r="I303" s="7"/>
      <c r="J303" s="13">
        <f>+M230</f>
        <v>0</v>
      </c>
      <c r="K303" s="7"/>
      <c r="L303" s="7"/>
      <c r="M303" s="13">
        <f>+J303+K303-L303</f>
        <v>0</v>
      </c>
      <c r="N303" s="40">
        <f>(+J303+M303)/2*12.5/100</f>
        <v>0</v>
      </c>
      <c r="O303" s="13">
        <f>+N303</f>
        <v>0</v>
      </c>
      <c r="P303" s="13">
        <v>0</v>
      </c>
      <c r="Q303" s="13">
        <v>0</v>
      </c>
      <c r="R303" s="7"/>
    </row>
    <row r="304" spans="1:18" ht="12.75">
      <c r="A304" s="93"/>
      <c r="B304" s="94"/>
      <c r="C304" s="93"/>
      <c r="D304" s="93"/>
      <c r="E304" s="93"/>
      <c r="F304" s="93"/>
      <c r="G304" s="93"/>
      <c r="H304" s="93"/>
      <c r="I304" s="93"/>
      <c r="J304" s="31">
        <f aca="true" t="shared" si="58" ref="J304:Q304">+J302+J303</f>
        <v>0</v>
      </c>
      <c r="K304" s="31">
        <f t="shared" si="58"/>
        <v>0</v>
      </c>
      <c r="L304" s="31">
        <f t="shared" si="58"/>
        <v>0</v>
      </c>
      <c r="M304" s="31">
        <f t="shared" si="58"/>
        <v>0</v>
      </c>
      <c r="N304" s="31">
        <f t="shared" si="58"/>
        <v>0</v>
      </c>
      <c r="O304" s="31">
        <f t="shared" si="58"/>
        <v>0</v>
      </c>
      <c r="P304" s="31">
        <f t="shared" si="58"/>
        <v>0</v>
      </c>
      <c r="Q304" s="31">
        <f t="shared" si="58"/>
        <v>0</v>
      </c>
      <c r="R304" s="93"/>
    </row>
    <row r="305" spans="1:18" ht="12.75">
      <c r="A305" s="22" t="s">
        <v>283</v>
      </c>
      <c r="B305" s="64"/>
      <c r="C305" s="7"/>
      <c r="D305" s="7"/>
      <c r="E305" s="7"/>
      <c r="F305" s="7"/>
      <c r="G305" s="7"/>
      <c r="H305" s="7"/>
      <c r="I305" s="7"/>
      <c r="J305" s="8"/>
      <c r="K305" s="8"/>
      <c r="L305" s="8"/>
      <c r="M305" s="8"/>
      <c r="N305" s="8"/>
      <c r="O305" s="8"/>
      <c r="P305" s="8"/>
      <c r="Q305" s="8"/>
      <c r="R305" s="7"/>
    </row>
    <row r="306" spans="1:18" ht="12.75">
      <c r="A306" s="7"/>
      <c r="B306" s="64"/>
      <c r="C306" s="7"/>
      <c r="D306" s="7"/>
      <c r="E306" s="7"/>
      <c r="F306" s="7"/>
      <c r="G306" s="7"/>
      <c r="H306" s="7"/>
      <c r="I306" s="7"/>
      <c r="J306" s="13">
        <f>+M233</f>
        <v>0</v>
      </c>
      <c r="K306" s="7"/>
      <c r="L306" s="7"/>
      <c r="M306" s="13">
        <f>+J306+K306-L306</f>
        <v>0</v>
      </c>
      <c r="N306" s="40">
        <f>(+J306+M306)/2*12.5/100</f>
        <v>0</v>
      </c>
      <c r="O306" s="13">
        <f>+N306</f>
        <v>0</v>
      </c>
      <c r="P306" s="13">
        <v>0</v>
      </c>
      <c r="Q306" s="13">
        <v>0</v>
      </c>
      <c r="R306" s="7"/>
    </row>
    <row r="307" spans="1:18" ht="12.75">
      <c r="A307" s="7"/>
      <c r="B307" s="64"/>
      <c r="C307" s="7"/>
      <c r="D307" s="7"/>
      <c r="E307" s="7"/>
      <c r="F307" s="7"/>
      <c r="G307" s="7"/>
      <c r="H307" s="7"/>
      <c r="I307" s="7"/>
      <c r="J307" s="13">
        <f>+M234</f>
        <v>0</v>
      </c>
      <c r="K307" s="7"/>
      <c r="L307" s="7"/>
      <c r="M307" s="13">
        <f>+J307+K307-L307</f>
        <v>0</v>
      </c>
      <c r="N307" s="40">
        <f>(+J307+M307)/2*12.5/100</f>
        <v>0</v>
      </c>
      <c r="O307" s="13">
        <f>+N307</f>
        <v>0</v>
      </c>
      <c r="P307" s="13">
        <v>0</v>
      </c>
      <c r="Q307" s="13">
        <v>0</v>
      </c>
      <c r="R307" s="7"/>
    </row>
    <row r="308" spans="1:18" ht="12.75">
      <c r="A308" s="93"/>
      <c r="B308" s="94"/>
      <c r="C308" s="93"/>
      <c r="D308" s="93"/>
      <c r="E308" s="93"/>
      <c r="F308" s="93"/>
      <c r="G308" s="93"/>
      <c r="H308" s="93"/>
      <c r="I308" s="93"/>
      <c r="J308" s="31">
        <f aca="true" t="shared" si="59" ref="J308:Q308">+J306+J307</f>
        <v>0</v>
      </c>
      <c r="K308" s="31">
        <f t="shared" si="59"/>
        <v>0</v>
      </c>
      <c r="L308" s="31">
        <f t="shared" si="59"/>
        <v>0</v>
      </c>
      <c r="M308" s="31">
        <f t="shared" si="59"/>
        <v>0</v>
      </c>
      <c r="N308" s="31">
        <f t="shared" si="59"/>
        <v>0</v>
      </c>
      <c r="O308" s="31">
        <f t="shared" si="59"/>
        <v>0</v>
      </c>
      <c r="P308" s="31">
        <f t="shared" si="59"/>
        <v>0</v>
      </c>
      <c r="Q308" s="31">
        <f t="shared" si="59"/>
        <v>0</v>
      </c>
      <c r="R308" s="93"/>
    </row>
    <row r="309" spans="1:18" ht="12.75">
      <c r="A309" s="22" t="s">
        <v>284</v>
      </c>
      <c r="B309" s="64"/>
      <c r="C309" s="7"/>
      <c r="D309" s="7"/>
      <c r="E309" s="7"/>
      <c r="F309" s="7"/>
      <c r="G309" s="7"/>
      <c r="H309" s="7"/>
      <c r="I309" s="7"/>
      <c r="J309" s="7"/>
      <c r="K309" s="7"/>
      <c r="L309" s="7"/>
      <c r="M309" s="7"/>
      <c r="N309" s="7"/>
      <c r="O309" s="7"/>
      <c r="P309" s="7"/>
      <c r="Q309" s="7"/>
      <c r="R309" s="7"/>
    </row>
    <row r="310" spans="1:18" ht="12.75">
      <c r="A310" s="7"/>
      <c r="B310" s="92">
        <v>53.301</v>
      </c>
      <c r="C310" s="7" t="s">
        <v>285</v>
      </c>
      <c r="D310" s="7"/>
      <c r="E310" s="7"/>
      <c r="F310" s="7"/>
      <c r="G310" s="7"/>
      <c r="H310" s="7"/>
      <c r="I310" s="7"/>
      <c r="J310" s="13">
        <f aca="true" t="shared" si="60" ref="J310:J335">+M237</f>
        <v>6713.88</v>
      </c>
      <c r="K310" s="84">
        <v>2684.35</v>
      </c>
      <c r="L310" s="285">
        <v>862.81</v>
      </c>
      <c r="M310" s="13">
        <f aca="true" t="shared" si="61" ref="M310:M331">+J310+K310-L310</f>
        <v>8535.42</v>
      </c>
      <c r="N310" s="40">
        <f>(+J310+M310)/2*11/100</f>
        <v>838.7114999999999</v>
      </c>
      <c r="O310" s="13">
        <f aca="true" t="shared" si="62" ref="O310:O335">+N310</f>
        <v>838.7114999999999</v>
      </c>
      <c r="P310" s="13">
        <v>0</v>
      </c>
      <c r="Q310" s="13">
        <v>0</v>
      </c>
      <c r="R310" s="7"/>
    </row>
    <row r="311" spans="1:18" ht="12.75">
      <c r="A311" s="7"/>
      <c r="B311" s="92">
        <v>53.71</v>
      </c>
      <c r="C311" s="7" t="s">
        <v>286</v>
      </c>
      <c r="D311" s="7"/>
      <c r="E311" s="7"/>
      <c r="F311" s="7"/>
      <c r="G311" s="7"/>
      <c r="H311" s="7"/>
      <c r="I311" s="7"/>
      <c r="J311" s="13">
        <f t="shared" si="60"/>
        <v>697.6899999999997</v>
      </c>
      <c r="K311" s="84">
        <v>16.39</v>
      </c>
      <c r="L311" s="285">
        <v>92.33</v>
      </c>
      <c r="M311" s="13">
        <f t="shared" si="61"/>
        <v>621.7499999999997</v>
      </c>
      <c r="N311" s="40">
        <f aca="true" t="shared" si="63" ref="N311:N335">(+J311+M311)/2*11/100</f>
        <v>72.56919999999997</v>
      </c>
      <c r="O311" s="13">
        <f t="shared" si="62"/>
        <v>72.56919999999997</v>
      </c>
      <c r="P311" s="13">
        <v>0</v>
      </c>
      <c r="Q311" s="13">
        <v>0</v>
      </c>
      <c r="R311" s="7"/>
    </row>
    <row r="312" spans="1:18" ht="12.75">
      <c r="A312" s="7"/>
      <c r="B312" s="64">
        <v>53.722</v>
      </c>
      <c r="C312" s="7" t="s">
        <v>290</v>
      </c>
      <c r="D312" s="7"/>
      <c r="E312" s="7"/>
      <c r="F312" s="7"/>
      <c r="G312" s="7"/>
      <c r="H312" s="7"/>
      <c r="I312" s="7"/>
      <c r="J312" s="13">
        <f t="shared" si="60"/>
        <v>-0.009999999999997122</v>
      </c>
      <c r="K312" s="84"/>
      <c r="L312" s="285"/>
      <c r="M312" s="13">
        <f t="shared" si="61"/>
        <v>-0.009999999999997122</v>
      </c>
      <c r="N312" s="40">
        <f t="shared" si="63"/>
        <v>-0.0010999999999996835</v>
      </c>
      <c r="O312" s="13">
        <f t="shared" si="62"/>
        <v>-0.0010999999999996835</v>
      </c>
      <c r="P312" s="13">
        <v>0</v>
      </c>
      <c r="Q312" s="13">
        <v>0</v>
      </c>
      <c r="R312" s="7"/>
    </row>
    <row r="313" spans="1:18" ht="12.75">
      <c r="A313" s="7"/>
      <c r="B313" s="64">
        <v>53.723</v>
      </c>
      <c r="C313" s="7" t="s">
        <v>291</v>
      </c>
      <c r="D313" s="7"/>
      <c r="E313" s="7"/>
      <c r="F313" s="7"/>
      <c r="G313" s="7"/>
      <c r="H313" s="7"/>
      <c r="I313" s="7"/>
      <c r="J313" s="13">
        <f t="shared" si="60"/>
        <v>0</v>
      </c>
      <c r="K313" s="84"/>
      <c r="L313" s="84"/>
      <c r="M313" s="13">
        <f t="shared" si="61"/>
        <v>0</v>
      </c>
      <c r="N313" s="40">
        <f t="shared" si="63"/>
        <v>0</v>
      </c>
      <c r="O313" s="13">
        <f t="shared" si="62"/>
        <v>0</v>
      </c>
      <c r="P313" s="13">
        <v>0</v>
      </c>
      <c r="Q313" s="13">
        <v>0</v>
      </c>
      <c r="R313" s="7"/>
    </row>
    <row r="314" spans="1:18" ht="12.75">
      <c r="A314" s="7"/>
      <c r="B314" s="92">
        <v>53.765</v>
      </c>
      <c r="C314" s="7" t="s">
        <v>292</v>
      </c>
      <c r="D314" s="7"/>
      <c r="E314" s="7"/>
      <c r="F314" s="7"/>
      <c r="G314" s="7"/>
      <c r="H314" s="7"/>
      <c r="I314" s="7"/>
      <c r="J314" s="13">
        <f t="shared" si="60"/>
        <v>40.470000000000006</v>
      </c>
      <c r="K314" s="84"/>
      <c r="L314" s="285"/>
      <c r="M314" s="13">
        <f t="shared" si="61"/>
        <v>40.470000000000006</v>
      </c>
      <c r="N314" s="40">
        <f t="shared" si="63"/>
        <v>4.451700000000001</v>
      </c>
      <c r="O314" s="13">
        <f t="shared" si="62"/>
        <v>4.451700000000001</v>
      </c>
      <c r="P314" s="13">
        <v>0</v>
      </c>
      <c r="Q314" s="13">
        <v>0</v>
      </c>
      <c r="R314" s="7"/>
    </row>
    <row r="315" spans="1:18" ht="12.75">
      <c r="A315" s="7"/>
      <c r="B315" s="92">
        <v>53.73</v>
      </c>
      <c r="C315" s="7" t="s">
        <v>389</v>
      </c>
      <c r="D315" s="7"/>
      <c r="E315" s="7"/>
      <c r="F315" s="7"/>
      <c r="G315" s="7"/>
      <c r="H315" s="7"/>
      <c r="I315" s="7"/>
      <c r="J315" s="13">
        <f t="shared" si="60"/>
        <v>0</v>
      </c>
      <c r="K315" s="84"/>
      <c r="L315" s="285"/>
      <c r="M315" s="13">
        <f t="shared" si="61"/>
        <v>0</v>
      </c>
      <c r="N315" s="40">
        <f t="shared" si="63"/>
        <v>0</v>
      </c>
      <c r="O315" s="13">
        <f t="shared" si="62"/>
        <v>0</v>
      </c>
      <c r="P315" s="13">
        <v>0</v>
      </c>
      <c r="Q315" s="13">
        <v>0</v>
      </c>
      <c r="R315" s="7"/>
    </row>
    <row r="316" spans="1:18" ht="12.75">
      <c r="A316" s="7"/>
      <c r="B316" s="64">
        <v>53.745</v>
      </c>
      <c r="C316" s="7" t="s">
        <v>293</v>
      </c>
      <c r="D316" s="7"/>
      <c r="E316" s="7"/>
      <c r="F316" s="7"/>
      <c r="G316" s="7"/>
      <c r="H316" s="7"/>
      <c r="I316" s="7"/>
      <c r="J316" s="13">
        <f t="shared" si="60"/>
        <v>10.759999999999977</v>
      </c>
      <c r="K316" s="84">
        <v>24.43</v>
      </c>
      <c r="L316" s="84">
        <v>35.19</v>
      </c>
      <c r="M316" s="13">
        <f t="shared" si="61"/>
        <v>0</v>
      </c>
      <c r="N316" s="40">
        <f t="shared" si="63"/>
        <v>0.5917999999999988</v>
      </c>
      <c r="O316" s="13">
        <f t="shared" si="62"/>
        <v>0.5917999999999988</v>
      </c>
      <c r="P316" s="13">
        <v>0</v>
      </c>
      <c r="Q316" s="13">
        <v>0</v>
      </c>
      <c r="R316" s="7"/>
    </row>
    <row r="317" spans="1:18" ht="12.75">
      <c r="A317" s="7"/>
      <c r="B317" s="64">
        <v>53.746</v>
      </c>
      <c r="C317" s="7" t="s">
        <v>294</v>
      </c>
      <c r="D317" s="7"/>
      <c r="E317" s="7"/>
      <c r="F317" s="7"/>
      <c r="G317" s="7"/>
      <c r="H317" s="7"/>
      <c r="I317" s="7"/>
      <c r="J317" s="13">
        <f t="shared" si="60"/>
        <v>12.859999999999994</v>
      </c>
      <c r="K317" s="84"/>
      <c r="L317" s="285"/>
      <c r="M317" s="13">
        <f t="shared" si="61"/>
        <v>12.859999999999994</v>
      </c>
      <c r="N317" s="40">
        <f t="shared" si="63"/>
        <v>1.4145999999999992</v>
      </c>
      <c r="O317" s="13">
        <f t="shared" si="62"/>
        <v>1.4145999999999992</v>
      </c>
      <c r="P317" s="13">
        <v>0</v>
      </c>
      <c r="Q317" s="13">
        <v>0</v>
      </c>
      <c r="R317" s="7"/>
    </row>
    <row r="318" spans="1:18" ht="12.75">
      <c r="A318" s="7"/>
      <c r="B318" s="64">
        <v>53.755</v>
      </c>
      <c r="C318" s="7" t="s">
        <v>295</v>
      </c>
      <c r="D318" s="7"/>
      <c r="E318" s="7"/>
      <c r="F318" s="7"/>
      <c r="G318" s="7"/>
      <c r="H318" s="7"/>
      <c r="I318" s="7"/>
      <c r="J318" s="13">
        <f t="shared" si="60"/>
        <v>0</v>
      </c>
      <c r="K318" s="84"/>
      <c r="L318" s="285"/>
      <c r="M318" s="13">
        <f t="shared" si="61"/>
        <v>0</v>
      </c>
      <c r="N318" s="40">
        <f t="shared" si="63"/>
        <v>0</v>
      </c>
      <c r="O318" s="13">
        <f t="shared" si="62"/>
        <v>0</v>
      </c>
      <c r="P318" s="13">
        <v>0</v>
      </c>
      <c r="Q318" s="13">
        <v>0</v>
      </c>
      <c r="R318" s="7"/>
    </row>
    <row r="319" spans="1:18" ht="12.75">
      <c r="A319" s="7"/>
      <c r="B319" s="64">
        <v>53.756</v>
      </c>
      <c r="C319" s="7" t="s">
        <v>296</v>
      </c>
      <c r="D319" s="7"/>
      <c r="E319" s="7"/>
      <c r="F319" s="7"/>
      <c r="G319" s="7"/>
      <c r="H319" s="7"/>
      <c r="I319" s="7"/>
      <c r="J319" s="13">
        <f t="shared" si="60"/>
        <v>0</v>
      </c>
      <c r="K319" s="84"/>
      <c r="L319" s="285"/>
      <c r="M319" s="13">
        <f t="shared" si="61"/>
        <v>0</v>
      </c>
      <c r="N319" s="40">
        <f t="shared" si="63"/>
        <v>0</v>
      </c>
      <c r="O319" s="13">
        <f t="shared" si="62"/>
        <v>0</v>
      </c>
      <c r="P319" s="13">
        <v>0</v>
      </c>
      <c r="Q319" s="13">
        <v>0</v>
      </c>
      <c r="R319" s="7"/>
    </row>
    <row r="320" spans="1:18" ht="12.75">
      <c r="A320" s="7"/>
      <c r="B320" s="64">
        <v>53.764</v>
      </c>
      <c r="C320" s="7" t="s">
        <v>297</v>
      </c>
      <c r="D320" s="7"/>
      <c r="E320" s="7"/>
      <c r="F320" s="7"/>
      <c r="G320" s="7"/>
      <c r="H320" s="7"/>
      <c r="I320" s="7"/>
      <c r="J320" s="13">
        <f t="shared" si="60"/>
        <v>-0.0010000000000047748</v>
      </c>
      <c r="K320" s="84"/>
      <c r="L320" s="285"/>
      <c r="M320" s="13">
        <f t="shared" si="61"/>
        <v>-0.0010000000000047748</v>
      </c>
      <c r="N320" s="40">
        <f t="shared" si="63"/>
        <v>-0.00011000000000052523</v>
      </c>
      <c r="O320" s="13">
        <f t="shared" si="62"/>
        <v>-0.00011000000000052523</v>
      </c>
      <c r="P320" s="13">
        <v>0</v>
      </c>
      <c r="Q320" s="13">
        <v>0</v>
      </c>
      <c r="R320" s="7"/>
    </row>
    <row r="321" spans="1:18" ht="12.75">
      <c r="A321" s="7"/>
      <c r="B321" s="64">
        <v>53.766</v>
      </c>
      <c r="C321" s="7" t="s">
        <v>298</v>
      </c>
      <c r="D321" s="7"/>
      <c r="E321" s="7"/>
      <c r="F321" s="7"/>
      <c r="G321" s="7"/>
      <c r="H321" s="7"/>
      <c r="I321" s="7"/>
      <c r="J321" s="13">
        <f t="shared" si="60"/>
        <v>0</v>
      </c>
      <c r="K321" s="84"/>
      <c r="L321" s="285"/>
      <c r="M321" s="13">
        <f t="shared" si="61"/>
        <v>0</v>
      </c>
      <c r="N321" s="40">
        <f t="shared" si="63"/>
        <v>0</v>
      </c>
      <c r="O321" s="13">
        <f t="shared" si="62"/>
        <v>0</v>
      </c>
      <c r="P321" s="13">
        <v>0</v>
      </c>
      <c r="Q321" s="13">
        <v>0</v>
      </c>
      <c r="R321" s="7"/>
    </row>
    <row r="322" spans="1:18" ht="12.75">
      <c r="A322" s="7"/>
      <c r="B322" s="64">
        <v>53.767</v>
      </c>
      <c r="C322" s="7" t="s">
        <v>299</v>
      </c>
      <c r="D322" s="7"/>
      <c r="E322" s="7"/>
      <c r="F322" s="7"/>
      <c r="G322" s="7"/>
      <c r="H322" s="7"/>
      <c r="I322" s="7"/>
      <c r="J322" s="13">
        <f t="shared" si="60"/>
        <v>0</v>
      </c>
      <c r="K322" s="84"/>
      <c r="L322" s="84"/>
      <c r="M322" s="13">
        <f t="shared" si="61"/>
        <v>0</v>
      </c>
      <c r="N322" s="40">
        <f t="shared" si="63"/>
        <v>0</v>
      </c>
      <c r="O322" s="13">
        <f t="shared" si="62"/>
        <v>0</v>
      </c>
      <c r="P322" s="13">
        <v>0</v>
      </c>
      <c r="Q322" s="13">
        <v>0</v>
      </c>
      <c r="R322" s="7"/>
    </row>
    <row r="323" spans="1:18" ht="12.75">
      <c r="A323" s="7"/>
      <c r="B323" s="64">
        <v>73.768</v>
      </c>
      <c r="C323" s="7" t="s">
        <v>300</v>
      </c>
      <c r="D323" s="7"/>
      <c r="E323" s="7"/>
      <c r="F323" s="7"/>
      <c r="G323" s="7"/>
      <c r="H323" s="7"/>
      <c r="I323" s="7"/>
      <c r="J323" s="13">
        <f t="shared" si="60"/>
        <v>3.885780586188048E-15</v>
      </c>
      <c r="K323" s="84"/>
      <c r="L323" s="285"/>
      <c r="M323" s="13">
        <f t="shared" si="61"/>
        <v>3.885780586188048E-15</v>
      </c>
      <c r="N323" s="40">
        <f t="shared" si="63"/>
        <v>4.274358644806853E-16</v>
      </c>
      <c r="O323" s="13">
        <f t="shared" si="62"/>
        <v>4.274358644806853E-16</v>
      </c>
      <c r="P323" s="13">
        <v>0</v>
      </c>
      <c r="Q323" s="13">
        <v>0</v>
      </c>
      <c r="R323" s="7"/>
    </row>
    <row r="324" spans="1:18" ht="12.75">
      <c r="A324" s="7"/>
      <c r="B324" s="92">
        <v>53.769</v>
      </c>
      <c r="C324" s="7" t="s">
        <v>301</v>
      </c>
      <c r="D324" s="7"/>
      <c r="E324" s="7"/>
      <c r="F324" s="7"/>
      <c r="G324" s="7"/>
      <c r="H324" s="7"/>
      <c r="I324" s="7"/>
      <c r="J324" s="13">
        <f t="shared" si="60"/>
        <v>0</v>
      </c>
      <c r="K324" s="84"/>
      <c r="L324" s="285"/>
      <c r="M324" s="13">
        <f t="shared" si="61"/>
        <v>0</v>
      </c>
      <c r="N324" s="40">
        <f t="shared" si="63"/>
        <v>0</v>
      </c>
      <c r="O324" s="13">
        <f t="shared" si="62"/>
        <v>0</v>
      </c>
      <c r="P324" s="13">
        <v>0</v>
      </c>
      <c r="Q324" s="13">
        <v>0</v>
      </c>
      <c r="R324" s="7"/>
    </row>
    <row r="325" spans="1:18" ht="12.75">
      <c r="A325" s="7"/>
      <c r="B325" s="92">
        <v>53.77</v>
      </c>
      <c r="C325" s="7" t="s">
        <v>302</v>
      </c>
      <c r="D325" s="7"/>
      <c r="E325" s="7"/>
      <c r="F325" s="7"/>
      <c r="G325" s="7"/>
      <c r="H325" s="7"/>
      <c r="I325" s="7"/>
      <c r="J325" s="13">
        <f t="shared" si="60"/>
        <v>0</v>
      </c>
      <c r="K325" s="84"/>
      <c r="L325" s="285"/>
      <c r="M325" s="13">
        <f t="shared" si="61"/>
        <v>0</v>
      </c>
      <c r="N325" s="40">
        <f t="shared" si="63"/>
        <v>0</v>
      </c>
      <c r="O325" s="13">
        <f t="shared" si="62"/>
        <v>0</v>
      </c>
      <c r="P325" s="13">
        <v>0</v>
      </c>
      <c r="Q325" s="13">
        <v>0</v>
      </c>
      <c r="R325" s="7"/>
    </row>
    <row r="326" spans="1:18" ht="12.75">
      <c r="A326" s="7"/>
      <c r="B326" s="64">
        <v>53.771</v>
      </c>
      <c r="C326" s="7" t="s">
        <v>303</v>
      </c>
      <c r="D326" s="7"/>
      <c r="E326" s="7"/>
      <c r="F326" s="7"/>
      <c r="G326" s="7"/>
      <c r="H326" s="7"/>
      <c r="I326" s="7"/>
      <c r="J326" s="13">
        <f t="shared" si="60"/>
        <v>0</v>
      </c>
      <c r="K326" s="84"/>
      <c r="L326" s="285"/>
      <c r="M326" s="13">
        <f t="shared" si="61"/>
        <v>0</v>
      </c>
      <c r="N326" s="40">
        <f t="shared" si="63"/>
        <v>0</v>
      </c>
      <c r="O326" s="13">
        <f t="shared" si="62"/>
        <v>0</v>
      </c>
      <c r="P326" s="13">
        <v>0</v>
      </c>
      <c r="Q326" s="13">
        <v>0</v>
      </c>
      <c r="R326" s="7"/>
    </row>
    <row r="327" spans="1:18" ht="12.75">
      <c r="A327" s="7"/>
      <c r="B327" s="64">
        <v>53.774</v>
      </c>
      <c r="C327" s="7" t="s">
        <v>304</v>
      </c>
      <c r="D327" s="7"/>
      <c r="E327" s="7"/>
      <c r="F327" s="7"/>
      <c r="G327" s="7"/>
      <c r="H327" s="7"/>
      <c r="I327" s="7"/>
      <c r="J327" s="13">
        <f t="shared" si="60"/>
        <v>0</v>
      </c>
      <c r="K327" s="84"/>
      <c r="L327" s="84"/>
      <c r="M327" s="13">
        <f t="shared" si="61"/>
        <v>0</v>
      </c>
      <c r="N327" s="40">
        <f t="shared" si="63"/>
        <v>0</v>
      </c>
      <c r="O327" s="13">
        <f t="shared" si="62"/>
        <v>0</v>
      </c>
      <c r="P327" s="13">
        <v>0</v>
      </c>
      <c r="Q327" s="13">
        <v>0</v>
      </c>
      <c r="R327" s="7"/>
    </row>
    <row r="328" spans="1:18" ht="12.75">
      <c r="A328" s="7"/>
      <c r="B328" s="64">
        <v>53.775</v>
      </c>
      <c r="C328" s="7" t="s">
        <v>305</v>
      </c>
      <c r="D328" s="7"/>
      <c r="E328" s="7"/>
      <c r="F328" s="7"/>
      <c r="G328" s="7"/>
      <c r="H328" s="7"/>
      <c r="I328" s="7"/>
      <c r="J328" s="13">
        <f t="shared" si="60"/>
        <v>0</v>
      </c>
      <c r="K328" s="84"/>
      <c r="L328" s="285"/>
      <c r="M328" s="13">
        <f t="shared" si="61"/>
        <v>0</v>
      </c>
      <c r="N328" s="40">
        <f t="shared" si="63"/>
        <v>0</v>
      </c>
      <c r="O328" s="13">
        <f t="shared" si="62"/>
        <v>0</v>
      </c>
      <c r="P328" s="13">
        <v>0</v>
      </c>
      <c r="Q328" s="13">
        <v>0</v>
      </c>
      <c r="R328" s="7"/>
    </row>
    <row r="329" spans="1:18" ht="12.75">
      <c r="A329" s="7"/>
      <c r="B329" s="64">
        <v>53.531</v>
      </c>
      <c r="C329" s="7" t="s">
        <v>306</v>
      </c>
      <c r="D329" s="7"/>
      <c r="E329" s="7"/>
      <c r="F329" s="7"/>
      <c r="G329" s="7"/>
      <c r="H329" s="7"/>
      <c r="I329" s="7"/>
      <c r="J329" s="13">
        <f t="shared" si="60"/>
        <v>197.04000000000005</v>
      </c>
      <c r="K329" s="84"/>
      <c r="L329" s="285">
        <f>24.88+18.19</f>
        <v>43.07</v>
      </c>
      <c r="M329" s="13">
        <f t="shared" si="61"/>
        <v>153.97000000000006</v>
      </c>
      <c r="N329" s="40">
        <f t="shared" si="63"/>
        <v>19.305550000000004</v>
      </c>
      <c r="O329" s="13">
        <f t="shared" si="62"/>
        <v>19.305550000000004</v>
      </c>
      <c r="P329" s="13">
        <v>0</v>
      </c>
      <c r="Q329" s="13">
        <v>0</v>
      </c>
      <c r="R329" s="7"/>
    </row>
    <row r="330" spans="1:18" ht="12.75">
      <c r="A330" s="7"/>
      <c r="B330" s="64">
        <v>53.776</v>
      </c>
      <c r="C330" s="7" t="s">
        <v>307</v>
      </c>
      <c r="D330" s="7"/>
      <c r="E330" s="7"/>
      <c r="F330" s="7"/>
      <c r="G330" s="7"/>
      <c r="H330" s="7"/>
      <c r="I330" s="7"/>
      <c r="J330" s="13">
        <f t="shared" si="60"/>
        <v>0</v>
      </c>
      <c r="K330" s="84"/>
      <c r="L330" s="285"/>
      <c r="M330" s="13">
        <f t="shared" si="61"/>
        <v>0</v>
      </c>
      <c r="N330" s="40">
        <f t="shared" si="63"/>
        <v>0</v>
      </c>
      <c r="O330" s="13">
        <f t="shared" si="62"/>
        <v>0</v>
      </c>
      <c r="P330" s="13">
        <v>0</v>
      </c>
      <c r="Q330" s="13">
        <v>0</v>
      </c>
      <c r="R330" s="7"/>
    </row>
    <row r="331" spans="1:18" ht="12.75">
      <c r="A331" s="7"/>
      <c r="B331" s="64">
        <v>53.777</v>
      </c>
      <c r="C331" s="7" t="s">
        <v>390</v>
      </c>
      <c r="D331" s="7"/>
      <c r="E331" s="7"/>
      <c r="F331" s="7"/>
      <c r="G331" s="7"/>
      <c r="H331" s="7"/>
      <c r="I331" s="7"/>
      <c r="J331" s="13">
        <f t="shared" si="60"/>
        <v>45.38000000000001</v>
      </c>
      <c r="K331" s="84"/>
      <c r="L331" s="285"/>
      <c r="M331" s="13">
        <f t="shared" si="61"/>
        <v>45.38000000000001</v>
      </c>
      <c r="N331" s="40">
        <f t="shared" si="63"/>
        <v>4.991800000000001</v>
      </c>
      <c r="O331" s="13">
        <f t="shared" si="62"/>
        <v>4.991800000000001</v>
      </c>
      <c r="P331" s="13">
        <v>0</v>
      </c>
      <c r="Q331" s="13">
        <v>0</v>
      </c>
      <c r="R331" s="7"/>
    </row>
    <row r="332" spans="1:18" ht="12.75">
      <c r="A332" s="7"/>
      <c r="B332" s="64">
        <v>53.778</v>
      </c>
      <c r="C332" s="7" t="s">
        <v>486</v>
      </c>
      <c r="D332" s="7"/>
      <c r="E332" s="7"/>
      <c r="F332" s="7"/>
      <c r="G332" s="7"/>
      <c r="H332" s="7"/>
      <c r="I332" s="7"/>
      <c r="J332" s="13">
        <f t="shared" si="60"/>
        <v>36.37</v>
      </c>
      <c r="K332" s="84"/>
      <c r="L332" s="285"/>
      <c r="M332" s="13">
        <f>+J332+K332-L332</f>
        <v>36.37</v>
      </c>
      <c r="N332" s="40">
        <f t="shared" si="63"/>
        <v>4.0007</v>
      </c>
      <c r="O332" s="13">
        <f>+N332</f>
        <v>4.0007</v>
      </c>
      <c r="P332" s="13">
        <v>0</v>
      </c>
      <c r="Q332" s="13">
        <v>0</v>
      </c>
      <c r="R332" s="7"/>
    </row>
    <row r="333" spans="1:18" ht="12.75">
      <c r="A333" s="7"/>
      <c r="B333" s="64">
        <v>53.749</v>
      </c>
      <c r="C333" s="7" t="s">
        <v>487</v>
      </c>
      <c r="D333" s="7"/>
      <c r="E333" s="7"/>
      <c r="F333" s="7"/>
      <c r="G333" s="7"/>
      <c r="H333" s="7"/>
      <c r="I333" s="7"/>
      <c r="J333" s="13">
        <f t="shared" si="60"/>
        <v>95.44</v>
      </c>
      <c r="K333" s="84"/>
      <c r="L333" s="285"/>
      <c r="M333" s="13">
        <f>+J333+K333-L333</f>
        <v>95.44</v>
      </c>
      <c r="N333" s="40">
        <f t="shared" si="63"/>
        <v>10.498399999999998</v>
      </c>
      <c r="O333" s="13">
        <f>+N333</f>
        <v>10.498399999999998</v>
      </c>
      <c r="P333" s="13">
        <v>0</v>
      </c>
      <c r="Q333" s="13">
        <v>0</v>
      </c>
      <c r="R333" s="7"/>
    </row>
    <row r="334" spans="1:18" ht="12.75">
      <c r="A334" s="7"/>
      <c r="B334" s="64"/>
      <c r="C334" s="7" t="s">
        <v>488</v>
      </c>
      <c r="D334" s="7"/>
      <c r="E334" s="7"/>
      <c r="F334" s="7"/>
      <c r="G334" s="7"/>
      <c r="H334" s="7"/>
      <c r="I334" s="7"/>
      <c r="J334" s="13">
        <f t="shared" si="60"/>
        <v>86.1</v>
      </c>
      <c r="K334" s="84"/>
      <c r="L334" s="285"/>
      <c r="M334" s="13">
        <f>+J334+K334-L334</f>
        <v>86.1</v>
      </c>
      <c r="N334" s="40">
        <f t="shared" si="63"/>
        <v>9.470999999999998</v>
      </c>
      <c r="O334" s="13">
        <f>+N334</f>
        <v>9.470999999999998</v>
      </c>
      <c r="P334" s="13">
        <v>0</v>
      </c>
      <c r="Q334" s="13">
        <v>0</v>
      </c>
      <c r="R334" s="7"/>
    </row>
    <row r="335" spans="1:18" ht="12.75">
      <c r="A335" s="7"/>
      <c r="B335" s="64"/>
      <c r="C335" s="7" t="s">
        <v>410</v>
      </c>
      <c r="D335" s="7"/>
      <c r="E335" s="7"/>
      <c r="F335" s="7"/>
      <c r="G335" s="7"/>
      <c r="H335" s="7"/>
      <c r="I335" s="7"/>
      <c r="J335" s="13">
        <f t="shared" si="60"/>
        <v>0</v>
      </c>
      <c r="K335" s="84"/>
      <c r="L335" s="285"/>
      <c r="M335" s="13">
        <f>+J335+K335-L335</f>
        <v>0</v>
      </c>
      <c r="N335" s="40">
        <f t="shared" si="63"/>
        <v>0</v>
      </c>
      <c r="O335" s="13">
        <f t="shared" si="62"/>
        <v>0</v>
      </c>
      <c r="P335" s="13">
        <v>0</v>
      </c>
      <c r="Q335" s="13">
        <v>0</v>
      </c>
      <c r="R335" s="7"/>
    </row>
    <row r="336" spans="1:18" ht="12.75">
      <c r="A336" s="93"/>
      <c r="B336" s="94"/>
      <c r="C336" s="93"/>
      <c r="D336" s="93"/>
      <c r="E336" s="93"/>
      <c r="F336" s="93"/>
      <c r="G336" s="93"/>
      <c r="H336" s="93"/>
      <c r="I336" s="93"/>
      <c r="J336" s="31">
        <f aca="true" t="shared" si="64" ref="J336:Q336">SUM(J310:J335)</f>
        <v>7935.978999999999</v>
      </c>
      <c r="K336" s="31">
        <f t="shared" si="64"/>
        <v>2725.1699999999996</v>
      </c>
      <c r="L336" s="31">
        <f t="shared" si="64"/>
        <v>1033.3999999999999</v>
      </c>
      <c r="M336" s="31">
        <f t="shared" si="64"/>
        <v>9627.749</v>
      </c>
      <c r="N336" s="31">
        <f t="shared" si="64"/>
        <v>966.0050399999999</v>
      </c>
      <c r="O336" s="31">
        <f t="shared" si="64"/>
        <v>966.0050399999999</v>
      </c>
      <c r="P336" s="31">
        <f t="shared" si="64"/>
        <v>0</v>
      </c>
      <c r="Q336" s="31">
        <f t="shared" si="64"/>
        <v>0</v>
      </c>
      <c r="R336" s="93"/>
    </row>
    <row r="337" spans="1:18" ht="12.75">
      <c r="A337" s="30"/>
      <c r="B337" s="95"/>
      <c r="C337" s="30"/>
      <c r="D337" s="30"/>
      <c r="E337" s="30"/>
      <c r="F337" s="30"/>
      <c r="G337" s="30"/>
      <c r="H337" s="30"/>
      <c r="I337" s="30"/>
      <c r="J337" s="31">
        <f aca="true" t="shared" si="65" ref="J337:Q337">+J300+J304+J308+J336</f>
        <v>7935.978999999999</v>
      </c>
      <c r="K337" s="31">
        <f t="shared" si="65"/>
        <v>2725.1699999999996</v>
      </c>
      <c r="L337" s="31">
        <f t="shared" si="65"/>
        <v>1033.3999999999999</v>
      </c>
      <c r="M337" s="31">
        <f t="shared" si="65"/>
        <v>9627.749</v>
      </c>
      <c r="N337" s="31">
        <f t="shared" si="65"/>
        <v>966.0050399999999</v>
      </c>
      <c r="O337" s="31">
        <f t="shared" si="65"/>
        <v>966.0050399999999</v>
      </c>
      <c r="P337" s="31">
        <f t="shared" si="65"/>
        <v>0</v>
      </c>
      <c r="Q337" s="31">
        <f t="shared" si="65"/>
        <v>0</v>
      </c>
      <c r="R337" s="30"/>
    </row>
    <row r="338" spans="1:18" ht="15.75">
      <c r="A338" s="102" t="s">
        <v>287</v>
      </c>
      <c r="B338" s="64"/>
      <c r="C338" s="7"/>
      <c r="D338" s="7"/>
      <c r="E338" s="7"/>
      <c r="F338" s="7"/>
      <c r="G338" s="7"/>
      <c r="H338" s="7"/>
      <c r="I338" s="7"/>
      <c r="J338" s="7"/>
      <c r="K338" s="7"/>
      <c r="L338" s="7"/>
      <c r="M338" s="7"/>
      <c r="N338" s="7"/>
      <c r="O338" s="7"/>
      <c r="P338" s="7"/>
      <c r="Q338" s="7"/>
      <c r="R338" s="7"/>
    </row>
    <row r="339" spans="1:18" ht="12.75">
      <c r="A339" s="22" t="s">
        <v>281</v>
      </c>
      <c r="B339" s="64"/>
      <c r="C339" s="7"/>
      <c r="D339" s="7"/>
      <c r="E339" s="7"/>
      <c r="F339" s="7"/>
      <c r="G339" s="7"/>
      <c r="H339" s="7"/>
      <c r="I339" s="7"/>
      <c r="J339" s="8"/>
      <c r="K339" s="8"/>
      <c r="L339" s="8"/>
      <c r="M339" s="8"/>
      <c r="N339" s="8"/>
      <c r="O339" s="8"/>
      <c r="P339" s="8"/>
      <c r="Q339" s="8"/>
      <c r="R339" s="7"/>
    </row>
    <row r="340" spans="1:18" ht="12.75">
      <c r="A340" s="22"/>
      <c r="B340" s="64"/>
      <c r="C340" s="7" t="s">
        <v>402</v>
      </c>
      <c r="D340" s="7"/>
      <c r="E340" s="7"/>
      <c r="F340" s="7"/>
      <c r="G340" s="7"/>
      <c r="H340" s="7"/>
      <c r="I340" s="7"/>
      <c r="J340" s="40">
        <f>+M267</f>
        <v>0</v>
      </c>
      <c r="K340" s="8"/>
      <c r="L340" s="40"/>
      <c r="M340" s="13">
        <f>+J340+K340-L340</f>
        <v>0</v>
      </c>
      <c r="N340" s="40">
        <f>(+J340+M340)/2*12.5/100</f>
        <v>0</v>
      </c>
      <c r="O340" s="13">
        <f>+N340</f>
        <v>0</v>
      </c>
      <c r="P340" s="13">
        <v>0</v>
      </c>
      <c r="Q340" s="13">
        <v>0</v>
      </c>
      <c r="R340" s="7"/>
    </row>
    <row r="341" spans="1:18" ht="12.75">
      <c r="A341" s="22"/>
      <c r="B341" s="64"/>
      <c r="C341" s="7" t="s">
        <v>403</v>
      </c>
      <c r="D341" s="7"/>
      <c r="E341" s="7"/>
      <c r="F341" s="7"/>
      <c r="G341" s="7"/>
      <c r="H341" s="7"/>
      <c r="I341" s="7"/>
      <c r="J341" s="40">
        <f>+M268</f>
        <v>0</v>
      </c>
      <c r="K341" s="8"/>
      <c r="L341" s="40"/>
      <c r="M341" s="13">
        <f>+J341+K341-L341</f>
        <v>0</v>
      </c>
      <c r="N341" s="40">
        <f>(+J341+M341)/2*12.5/100</f>
        <v>0</v>
      </c>
      <c r="O341" s="13">
        <f>+N341</f>
        <v>0</v>
      </c>
      <c r="P341" s="13">
        <v>0</v>
      </c>
      <c r="Q341" s="13">
        <v>0</v>
      </c>
      <c r="R341" s="7"/>
    </row>
    <row r="342" spans="1:18" ht="12.75">
      <c r="A342" s="22"/>
      <c r="B342" s="64"/>
      <c r="C342" s="7" t="s">
        <v>404</v>
      </c>
      <c r="D342" s="7"/>
      <c r="E342" s="7"/>
      <c r="F342" s="7"/>
      <c r="G342" s="7"/>
      <c r="H342" s="7"/>
      <c r="I342" s="7"/>
      <c r="J342" s="40">
        <f>+M269</f>
        <v>0</v>
      </c>
      <c r="K342" s="8"/>
      <c r="L342" s="40"/>
      <c r="M342" s="13">
        <f>+J342+K342-L342</f>
        <v>0</v>
      </c>
      <c r="N342" s="40">
        <f>(+J342+M342)/2*12.5/100</f>
        <v>0</v>
      </c>
      <c r="O342" s="13">
        <f>+N342</f>
        <v>0</v>
      </c>
      <c r="P342" s="13">
        <v>0</v>
      </c>
      <c r="Q342" s="13">
        <v>0</v>
      </c>
      <c r="R342" s="7"/>
    </row>
    <row r="343" spans="1:18" ht="12.75">
      <c r="A343" s="7"/>
      <c r="B343" s="64"/>
      <c r="C343" s="7" t="s">
        <v>405</v>
      </c>
      <c r="D343" s="7"/>
      <c r="E343" s="7"/>
      <c r="F343" s="7"/>
      <c r="G343" s="7"/>
      <c r="H343" s="7"/>
      <c r="I343" s="7"/>
      <c r="J343" s="40">
        <f>+M270</f>
        <v>0</v>
      </c>
      <c r="K343" s="13"/>
      <c r="L343" s="13"/>
      <c r="M343" s="13">
        <f>+J343+K343-L343</f>
        <v>0</v>
      </c>
      <c r="N343" s="40">
        <f>(+J343+M343)/2*12.5/100</f>
        <v>0</v>
      </c>
      <c r="O343" s="13">
        <f>+N343</f>
        <v>0</v>
      </c>
      <c r="P343" s="13">
        <v>0</v>
      </c>
      <c r="Q343" s="13">
        <v>0</v>
      </c>
      <c r="R343" s="7"/>
    </row>
    <row r="344" spans="1:18" ht="12.75">
      <c r="A344" s="93"/>
      <c r="B344" s="94"/>
      <c r="C344" s="93"/>
      <c r="D344" s="93"/>
      <c r="E344" s="93"/>
      <c r="F344" s="93"/>
      <c r="G344" s="93"/>
      <c r="H344" s="93"/>
      <c r="I344" s="93"/>
      <c r="J344" s="31">
        <f aca="true" t="shared" si="66" ref="J344:Q344">+J340+J341+J342</f>
        <v>0</v>
      </c>
      <c r="K344" s="31">
        <f t="shared" si="66"/>
        <v>0</v>
      </c>
      <c r="L344" s="31">
        <f t="shared" si="66"/>
        <v>0</v>
      </c>
      <c r="M344" s="31">
        <f t="shared" si="66"/>
        <v>0</v>
      </c>
      <c r="N344" s="31">
        <f t="shared" si="66"/>
        <v>0</v>
      </c>
      <c r="O344" s="31">
        <f t="shared" si="66"/>
        <v>0</v>
      </c>
      <c r="P344" s="31">
        <f t="shared" si="66"/>
        <v>0</v>
      </c>
      <c r="Q344" s="31">
        <f t="shared" si="66"/>
        <v>0</v>
      </c>
      <c r="R344" s="93"/>
    </row>
    <row r="345" spans="1:18" ht="12.75">
      <c r="A345" s="22" t="s">
        <v>282</v>
      </c>
      <c r="B345" s="64"/>
      <c r="C345" s="7"/>
      <c r="D345" s="7"/>
      <c r="E345" s="7"/>
      <c r="F345" s="7"/>
      <c r="G345" s="7"/>
      <c r="H345" s="7"/>
      <c r="I345" s="7"/>
      <c r="J345" s="8"/>
      <c r="K345" s="8"/>
      <c r="L345" s="8"/>
      <c r="M345" s="8"/>
      <c r="N345" s="8"/>
      <c r="O345" s="8"/>
      <c r="P345" s="8"/>
      <c r="Q345" s="8"/>
      <c r="R345" s="7"/>
    </row>
    <row r="346" spans="1:18" ht="12.75">
      <c r="A346" s="7"/>
      <c r="B346" s="64"/>
      <c r="C346" s="7"/>
      <c r="D346" s="7"/>
      <c r="E346" s="7"/>
      <c r="F346" s="7"/>
      <c r="G346" s="7"/>
      <c r="H346" s="7"/>
      <c r="I346" s="7"/>
      <c r="J346" s="13">
        <f>+M273</f>
        <v>0</v>
      </c>
      <c r="K346" s="7"/>
      <c r="L346" s="7"/>
      <c r="M346" s="13">
        <f>+J346+K346-L346</f>
        <v>0</v>
      </c>
      <c r="N346" s="40">
        <f>(+J346+M346)/2*12.5/100</f>
        <v>0</v>
      </c>
      <c r="O346" s="13">
        <f>+N346</f>
        <v>0</v>
      </c>
      <c r="P346" s="13">
        <v>0</v>
      </c>
      <c r="Q346" s="13">
        <v>0</v>
      </c>
      <c r="R346" s="7"/>
    </row>
    <row r="347" spans="1:18" ht="12.75">
      <c r="A347" s="7"/>
      <c r="B347" s="64"/>
      <c r="C347" s="7"/>
      <c r="D347" s="7"/>
      <c r="E347" s="7"/>
      <c r="F347" s="7"/>
      <c r="G347" s="7"/>
      <c r="H347" s="7"/>
      <c r="I347" s="7"/>
      <c r="J347" s="13">
        <f>+M274</f>
        <v>0</v>
      </c>
      <c r="K347" s="7"/>
      <c r="L347" s="7"/>
      <c r="M347" s="13">
        <f>+J347+K347-L347</f>
        <v>0</v>
      </c>
      <c r="N347" s="40">
        <f>(+J347+M347)/2*12.5/100</f>
        <v>0</v>
      </c>
      <c r="O347" s="13">
        <f>+N347</f>
        <v>0</v>
      </c>
      <c r="P347" s="13">
        <v>0</v>
      </c>
      <c r="Q347" s="13">
        <v>0</v>
      </c>
      <c r="R347" s="7"/>
    </row>
    <row r="348" spans="1:18" ht="12.75">
      <c r="A348" s="93"/>
      <c r="B348" s="94"/>
      <c r="C348" s="93"/>
      <c r="D348" s="93"/>
      <c r="E348" s="93"/>
      <c r="F348" s="93"/>
      <c r="G348" s="93"/>
      <c r="H348" s="93"/>
      <c r="I348" s="93"/>
      <c r="J348" s="31">
        <f aca="true" t="shared" si="67" ref="J348:Q348">+J346+J347</f>
        <v>0</v>
      </c>
      <c r="K348" s="31">
        <f t="shared" si="67"/>
        <v>0</v>
      </c>
      <c r="L348" s="31">
        <f t="shared" si="67"/>
        <v>0</v>
      </c>
      <c r="M348" s="31">
        <f t="shared" si="67"/>
        <v>0</v>
      </c>
      <c r="N348" s="31">
        <f t="shared" si="67"/>
        <v>0</v>
      </c>
      <c r="O348" s="31">
        <f t="shared" si="67"/>
        <v>0</v>
      </c>
      <c r="P348" s="31">
        <f t="shared" si="67"/>
        <v>0</v>
      </c>
      <c r="Q348" s="31">
        <f t="shared" si="67"/>
        <v>0</v>
      </c>
      <c r="R348" s="93"/>
    </row>
    <row r="349" spans="1:18" ht="12.75">
      <c r="A349" s="22" t="s">
        <v>283</v>
      </c>
      <c r="B349" s="64"/>
      <c r="C349" s="7"/>
      <c r="D349" s="7"/>
      <c r="E349" s="7"/>
      <c r="F349" s="7"/>
      <c r="G349" s="7"/>
      <c r="H349" s="7"/>
      <c r="I349" s="7"/>
      <c r="J349" s="8"/>
      <c r="K349" s="8"/>
      <c r="L349" s="8"/>
      <c r="M349" s="8"/>
      <c r="N349" s="8"/>
      <c r="O349" s="8"/>
      <c r="P349" s="8"/>
      <c r="Q349" s="8"/>
      <c r="R349" s="7"/>
    </row>
    <row r="350" spans="1:18" ht="12.75">
      <c r="A350" s="7"/>
      <c r="B350" s="92">
        <v>54.2</v>
      </c>
      <c r="C350" s="7" t="s">
        <v>321</v>
      </c>
      <c r="D350" s="7"/>
      <c r="E350" s="7"/>
      <c r="F350" s="7"/>
      <c r="G350" s="7"/>
      <c r="H350" s="7"/>
      <c r="I350" s="7"/>
      <c r="J350" s="13">
        <f>+M277</f>
        <v>272.37999999999994</v>
      </c>
      <c r="K350" s="84"/>
      <c r="L350" s="84"/>
      <c r="M350" s="13">
        <f>+J350+K350-L350</f>
        <v>272.37999999999994</v>
      </c>
      <c r="N350" s="40">
        <f>(+J350+M350)/2*10/100</f>
        <v>27.237999999999992</v>
      </c>
      <c r="O350" s="13">
        <f>+N350</f>
        <v>27.237999999999992</v>
      </c>
      <c r="P350" s="13">
        <v>0</v>
      </c>
      <c r="Q350" s="13">
        <v>0</v>
      </c>
      <c r="R350" s="7"/>
    </row>
    <row r="351" spans="1:18" ht="12.75">
      <c r="A351" s="7"/>
      <c r="B351" s="92"/>
      <c r="C351" s="33" t="s">
        <v>492</v>
      </c>
      <c r="D351" s="7"/>
      <c r="E351" s="7"/>
      <c r="F351" s="7"/>
      <c r="G351" s="7"/>
      <c r="H351" s="7"/>
      <c r="I351" s="7"/>
      <c r="J351" s="13">
        <f>+M278</f>
        <v>608.31</v>
      </c>
      <c r="K351" s="84">
        <v>108</v>
      </c>
      <c r="L351" s="84">
        <v>66.53</v>
      </c>
      <c r="M351" s="13">
        <f>+J351+K351-L351</f>
        <v>649.78</v>
      </c>
      <c r="N351" s="40">
        <f>(+J351+M351)/2*1.72/100</f>
        <v>10.819574</v>
      </c>
      <c r="O351" s="13">
        <f>+N351</f>
        <v>10.819574</v>
      </c>
      <c r="P351" s="13">
        <v>0</v>
      </c>
      <c r="Q351" s="13">
        <v>0</v>
      </c>
      <c r="R351" s="7"/>
    </row>
    <row r="352" spans="1:18" ht="12.75">
      <c r="A352" s="7"/>
      <c r="B352" s="92"/>
      <c r="C352" s="33" t="s">
        <v>493</v>
      </c>
      <c r="D352" s="7"/>
      <c r="E352" s="7"/>
      <c r="F352" s="7"/>
      <c r="G352" s="7"/>
      <c r="H352" s="7"/>
      <c r="I352" s="7"/>
      <c r="J352" s="13">
        <f>+M279</f>
        <v>533.37</v>
      </c>
      <c r="K352" s="84"/>
      <c r="L352" s="84">
        <v>63.42</v>
      </c>
      <c r="M352" s="13">
        <f>+J352+K352-L352</f>
        <v>469.95</v>
      </c>
      <c r="N352" s="40">
        <f>(+J352+M352)/2*10/100</f>
        <v>50.166</v>
      </c>
      <c r="O352" s="13">
        <f>+N352</f>
        <v>50.166</v>
      </c>
      <c r="P352" s="13">
        <v>0</v>
      </c>
      <c r="Q352" s="13">
        <v>0</v>
      </c>
      <c r="R352" s="7"/>
    </row>
    <row r="353" spans="1:18" ht="12.75">
      <c r="A353" s="7"/>
      <c r="B353" s="92"/>
      <c r="C353" s="158" t="s">
        <v>494</v>
      </c>
      <c r="D353" s="7"/>
      <c r="E353" s="7"/>
      <c r="F353" s="7"/>
      <c r="G353" s="7"/>
      <c r="H353" s="7"/>
      <c r="I353" s="7"/>
      <c r="J353" s="13">
        <f>+M280</f>
        <v>687.5499999999998</v>
      </c>
      <c r="K353" s="84"/>
      <c r="L353" s="84">
        <v>45.91</v>
      </c>
      <c r="M353" s="13">
        <f>+J353+K353-L353</f>
        <v>641.6399999999999</v>
      </c>
      <c r="N353" s="40">
        <f>(+J353+M353)/2*10/100</f>
        <v>66.45949999999998</v>
      </c>
      <c r="O353" s="13">
        <f>+N353</f>
        <v>66.45949999999998</v>
      </c>
      <c r="P353" s="13">
        <v>0</v>
      </c>
      <c r="Q353" s="13">
        <v>0</v>
      </c>
      <c r="R353" s="7"/>
    </row>
    <row r="354" spans="1:18" ht="12.75">
      <c r="A354" s="93"/>
      <c r="B354" s="94"/>
      <c r="C354" s="93"/>
      <c r="D354" s="93"/>
      <c r="E354" s="93"/>
      <c r="F354" s="93"/>
      <c r="G354" s="93"/>
      <c r="H354" s="93"/>
      <c r="I354" s="93"/>
      <c r="J354" s="31">
        <f>SUM(J350:J353)</f>
        <v>2101.6099999999997</v>
      </c>
      <c r="K354" s="31">
        <f aca="true" t="shared" si="68" ref="K354:Q354">SUM(K350:K353)</f>
        <v>108</v>
      </c>
      <c r="L354" s="31">
        <f t="shared" si="68"/>
        <v>175.85999999999999</v>
      </c>
      <c r="M354" s="31">
        <f t="shared" si="68"/>
        <v>2033.7499999999998</v>
      </c>
      <c r="N354" s="31">
        <f t="shared" si="68"/>
        <v>154.68307399999998</v>
      </c>
      <c r="O354" s="31">
        <f t="shared" si="68"/>
        <v>154.68307399999998</v>
      </c>
      <c r="P354" s="31">
        <f t="shared" si="68"/>
        <v>0</v>
      </c>
      <c r="Q354" s="31">
        <f t="shared" si="68"/>
        <v>0</v>
      </c>
      <c r="R354" s="93"/>
    </row>
    <row r="355" spans="1:18" ht="12.75">
      <c r="A355" s="22" t="s">
        <v>284</v>
      </c>
      <c r="B355" s="64"/>
      <c r="C355" s="7"/>
      <c r="D355" s="7"/>
      <c r="E355" s="7"/>
      <c r="F355" s="7"/>
      <c r="G355" s="7"/>
      <c r="H355" s="7"/>
      <c r="I355" s="7"/>
      <c r="J355" s="7"/>
      <c r="K355" s="7"/>
      <c r="L355" s="7"/>
      <c r="M355" s="7"/>
      <c r="N355" s="7"/>
      <c r="O355" s="7"/>
      <c r="P355" s="7"/>
      <c r="Q355" s="7"/>
      <c r="R355" s="7"/>
    </row>
    <row r="356" spans="1:18" ht="12.75">
      <c r="A356" s="7"/>
      <c r="B356" s="92">
        <v>52.501</v>
      </c>
      <c r="C356" s="7" t="s">
        <v>308</v>
      </c>
      <c r="D356" s="7"/>
      <c r="E356" s="7"/>
      <c r="F356" s="7"/>
      <c r="G356" s="7"/>
      <c r="H356" s="7"/>
      <c r="I356" s="7"/>
      <c r="J356" s="13">
        <f>+M283</f>
        <v>0</v>
      </c>
      <c r="K356" s="7"/>
      <c r="L356" s="7"/>
      <c r="M356" s="13">
        <f>+J356+K356-L356</f>
        <v>0</v>
      </c>
      <c r="N356" s="40">
        <f>(+J356+M356)/2*12.5/100</f>
        <v>0</v>
      </c>
      <c r="O356" s="13">
        <f>+N356</f>
        <v>0</v>
      </c>
      <c r="P356" s="13">
        <v>0</v>
      </c>
      <c r="Q356" s="13">
        <v>0</v>
      </c>
      <c r="R356" s="7"/>
    </row>
    <row r="357" spans="1:18" ht="12.75">
      <c r="A357" s="7"/>
      <c r="B357" s="92">
        <v>53.61</v>
      </c>
      <c r="C357" s="7" t="s">
        <v>309</v>
      </c>
      <c r="D357" s="7"/>
      <c r="E357" s="7"/>
      <c r="F357" s="7"/>
      <c r="G357" s="7"/>
      <c r="H357" s="7"/>
      <c r="I357" s="7"/>
      <c r="J357" s="13">
        <f>+M284</f>
        <v>0</v>
      </c>
      <c r="K357" s="7"/>
      <c r="L357" s="7"/>
      <c r="M357" s="13">
        <f>+J357+K357-L357</f>
        <v>0</v>
      </c>
      <c r="N357" s="40">
        <f>(+J357+M357)/2*12.5/100</f>
        <v>0</v>
      </c>
      <c r="O357" s="13">
        <f>+N357</f>
        <v>0</v>
      </c>
      <c r="P357" s="13">
        <v>0</v>
      </c>
      <c r="Q357" s="13">
        <v>0</v>
      </c>
      <c r="R357" s="7"/>
    </row>
    <row r="358" spans="1:18" ht="12.75">
      <c r="A358" s="7"/>
      <c r="B358" s="92"/>
      <c r="C358" s="7" t="s">
        <v>409</v>
      </c>
      <c r="D358" s="7"/>
      <c r="E358" s="7"/>
      <c r="F358" s="7"/>
      <c r="G358" s="7"/>
      <c r="H358" s="7"/>
      <c r="I358" s="7"/>
      <c r="J358" s="13"/>
      <c r="K358" s="7"/>
      <c r="L358" s="7"/>
      <c r="M358" s="13">
        <f>+J358+K358-L358</f>
        <v>0</v>
      </c>
      <c r="N358" s="40">
        <f>(+J358+M358)/2*12.5/100</f>
        <v>0</v>
      </c>
      <c r="O358" s="13">
        <f>+N358</f>
        <v>0</v>
      </c>
      <c r="P358" s="13">
        <v>0</v>
      </c>
      <c r="Q358" s="13">
        <v>0</v>
      </c>
      <c r="R358" s="7"/>
    </row>
    <row r="359" spans="1:18" ht="12.75">
      <c r="A359" s="93"/>
      <c r="B359" s="94"/>
      <c r="C359" s="93"/>
      <c r="D359" s="93"/>
      <c r="E359" s="93"/>
      <c r="F359" s="93"/>
      <c r="G359" s="93"/>
      <c r="H359" s="93"/>
      <c r="I359" s="93"/>
      <c r="J359" s="31">
        <f>SUM(J356:J358)</f>
        <v>0</v>
      </c>
      <c r="K359" s="31">
        <f aca="true" t="shared" si="69" ref="K359:Q359">SUM(K356:K358)</f>
        <v>0</v>
      </c>
      <c r="L359" s="31">
        <f t="shared" si="69"/>
        <v>0</v>
      </c>
      <c r="M359" s="31">
        <f t="shared" si="69"/>
        <v>0</v>
      </c>
      <c r="N359" s="31">
        <f t="shared" si="69"/>
        <v>0</v>
      </c>
      <c r="O359" s="31">
        <f t="shared" si="69"/>
        <v>0</v>
      </c>
      <c r="P359" s="31">
        <f t="shared" si="69"/>
        <v>0</v>
      </c>
      <c r="Q359" s="31">
        <f t="shared" si="69"/>
        <v>0</v>
      </c>
      <c r="R359" s="93"/>
    </row>
    <row r="360" spans="1:18" ht="12.75">
      <c r="A360" s="30"/>
      <c r="B360" s="95"/>
      <c r="C360" s="30"/>
      <c r="D360" s="30"/>
      <c r="E360" s="30"/>
      <c r="F360" s="30"/>
      <c r="G360" s="30"/>
      <c r="H360" s="30"/>
      <c r="I360" s="30"/>
      <c r="J360" s="31">
        <f aca="true" t="shared" si="70" ref="J360:Q360">+J344+J348+J354+J359</f>
        <v>2101.6099999999997</v>
      </c>
      <c r="K360" s="31">
        <f t="shared" si="70"/>
        <v>108</v>
      </c>
      <c r="L360" s="31">
        <f t="shared" si="70"/>
        <v>175.85999999999999</v>
      </c>
      <c r="M360" s="31">
        <f t="shared" si="70"/>
        <v>2033.7499999999998</v>
      </c>
      <c r="N360" s="31">
        <f t="shared" si="70"/>
        <v>154.68307399999998</v>
      </c>
      <c r="O360" s="31">
        <f t="shared" si="70"/>
        <v>154.68307399999998</v>
      </c>
      <c r="P360" s="31">
        <f t="shared" si="70"/>
        <v>0</v>
      </c>
      <c r="Q360" s="31">
        <f t="shared" si="70"/>
        <v>0</v>
      </c>
      <c r="R360" s="30"/>
    </row>
    <row r="361" spans="1:18" ht="12.75">
      <c r="A361" s="30"/>
      <c r="B361" s="95"/>
      <c r="C361" s="30"/>
      <c r="D361" s="30"/>
      <c r="E361" s="30"/>
      <c r="F361" s="30"/>
      <c r="G361" s="30"/>
      <c r="H361" s="30"/>
      <c r="I361" s="30"/>
      <c r="J361" s="31">
        <f aca="true" t="shared" si="71" ref="J361:Q361">+J337+J360</f>
        <v>10037.589</v>
      </c>
      <c r="K361" s="31">
        <f t="shared" si="71"/>
        <v>2833.1699999999996</v>
      </c>
      <c r="L361" s="31">
        <f t="shared" si="71"/>
        <v>1209.2599999999998</v>
      </c>
      <c r="M361" s="31">
        <f t="shared" si="71"/>
        <v>11661.499</v>
      </c>
      <c r="N361" s="31">
        <f t="shared" si="71"/>
        <v>1120.6881139999998</v>
      </c>
      <c r="O361" s="31">
        <f t="shared" si="71"/>
        <v>1120.6881139999998</v>
      </c>
      <c r="P361" s="31">
        <f t="shared" si="71"/>
        <v>0</v>
      </c>
      <c r="Q361" s="31">
        <f t="shared" si="71"/>
        <v>0</v>
      </c>
      <c r="R361" s="31"/>
    </row>
    <row r="362" ht="12.75">
      <c r="L362">
        <v>18.38</v>
      </c>
    </row>
    <row r="363" spans="10:13" ht="12.75">
      <c r="J363" s="15" t="s">
        <v>516</v>
      </c>
      <c r="M363" s="20">
        <v>1734</v>
      </c>
    </row>
    <row r="364" spans="10:13" ht="12.75">
      <c r="J364" s="15" t="s">
        <v>517</v>
      </c>
      <c r="M364" s="20">
        <f>M361-M363</f>
        <v>9927.499</v>
      </c>
    </row>
    <row r="367" spans="1:18" ht="12.75">
      <c r="A367" s="316" t="s">
        <v>480</v>
      </c>
      <c r="B367" s="90"/>
      <c r="C367" s="10"/>
      <c r="D367" s="9"/>
      <c r="E367" s="10"/>
      <c r="F367" s="10"/>
      <c r="G367" s="10"/>
      <c r="H367" s="10"/>
      <c r="I367" s="91"/>
      <c r="J367" s="10"/>
      <c r="K367" s="10"/>
      <c r="L367" s="10"/>
      <c r="M367" s="10"/>
      <c r="N367" s="10"/>
      <c r="O367" s="10"/>
      <c r="P367" s="10"/>
      <c r="Q367" s="62" t="s">
        <v>251</v>
      </c>
      <c r="R367" s="10"/>
    </row>
    <row r="368" spans="1:18" ht="56.25">
      <c r="A368" s="270" t="s">
        <v>252</v>
      </c>
      <c r="B368" s="270" t="s">
        <v>278</v>
      </c>
      <c r="C368" s="270" t="s">
        <v>311</v>
      </c>
      <c r="D368" s="270" t="s">
        <v>279</v>
      </c>
      <c r="E368" s="270" t="s">
        <v>255</v>
      </c>
      <c r="F368" s="270" t="s">
        <v>280</v>
      </c>
      <c r="G368" s="270" t="s">
        <v>261</v>
      </c>
      <c r="H368" s="270" t="s">
        <v>310</v>
      </c>
      <c r="I368" s="271" t="s">
        <v>262</v>
      </c>
      <c r="J368" s="270" t="s">
        <v>263</v>
      </c>
      <c r="K368" s="270" t="s">
        <v>264</v>
      </c>
      <c r="L368" s="270" t="s">
        <v>265</v>
      </c>
      <c r="M368" s="270" t="s">
        <v>266</v>
      </c>
      <c r="N368" s="270" t="s">
        <v>267</v>
      </c>
      <c r="O368" s="270" t="s">
        <v>268</v>
      </c>
      <c r="P368" s="270" t="s">
        <v>269</v>
      </c>
      <c r="Q368" s="270" t="s">
        <v>270</v>
      </c>
      <c r="R368" s="270" t="s">
        <v>107</v>
      </c>
    </row>
    <row r="369" spans="1:18" ht="15.75">
      <c r="A369" s="102" t="s">
        <v>288</v>
      </c>
      <c r="B369" s="64"/>
      <c r="C369" s="7"/>
      <c r="D369" s="7"/>
      <c r="E369" s="7"/>
      <c r="F369" s="7"/>
      <c r="G369" s="7"/>
      <c r="H369" s="7"/>
      <c r="I369" s="7"/>
      <c r="J369" s="8"/>
      <c r="K369" s="8"/>
      <c r="L369" s="8"/>
      <c r="M369" s="8"/>
      <c r="N369" s="8"/>
      <c r="O369" s="8"/>
      <c r="P369" s="8"/>
      <c r="Q369" s="8"/>
      <c r="R369" s="7"/>
    </row>
    <row r="370" spans="1:18" ht="12.75">
      <c r="A370" s="22" t="s">
        <v>281</v>
      </c>
      <c r="B370" s="64"/>
      <c r="C370" s="7"/>
      <c r="D370" s="7"/>
      <c r="E370" s="7"/>
      <c r="F370" s="7"/>
      <c r="G370" s="7"/>
      <c r="H370" s="7"/>
      <c r="I370" s="7"/>
      <c r="J370" s="8"/>
      <c r="K370" s="8"/>
      <c r="L370" s="8"/>
      <c r="M370" s="8"/>
      <c r="N370" s="8"/>
      <c r="O370" s="8"/>
      <c r="P370" s="8"/>
      <c r="Q370" s="8"/>
      <c r="R370" s="7"/>
    </row>
    <row r="371" spans="1:18" ht="12.75">
      <c r="A371" s="7"/>
      <c r="B371" s="64"/>
      <c r="C371" s="7" t="s">
        <v>410</v>
      </c>
      <c r="D371" s="7"/>
      <c r="E371" s="7"/>
      <c r="F371" s="7"/>
      <c r="G371" s="7"/>
      <c r="H371" s="7"/>
      <c r="I371" s="7"/>
      <c r="J371" s="13">
        <f>+M298</f>
        <v>0</v>
      </c>
      <c r="K371" s="7"/>
      <c r="L371" s="7"/>
      <c r="M371" s="13">
        <f>+J371+K371-L371</f>
        <v>0</v>
      </c>
      <c r="N371" s="40">
        <f>(+J371+M371)/2*12.5/100</f>
        <v>0</v>
      </c>
      <c r="O371" s="13">
        <f>+N371</f>
        <v>0</v>
      </c>
      <c r="P371" s="13">
        <v>0</v>
      </c>
      <c r="Q371" s="13">
        <v>0</v>
      </c>
      <c r="R371" s="7"/>
    </row>
    <row r="372" spans="1:18" ht="12.75">
      <c r="A372" s="7"/>
      <c r="B372" s="64"/>
      <c r="C372" s="7"/>
      <c r="D372" s="7"/>
      <c r="E372" s="7"/>
      <c r="F372" s="7"/>
      <c r="G372" s="7"/>
      <c r="H372" s="7"/>
      <c r="I372" s="7"/>
      <c r="J372" s="13">
        <f>+M299</f>
        <v>0</v>
      </c>
      <c r="K372" s="7"/>
      <c r="L372" s="7"/>
      <c r="M372" s="13">
        <f>+J372+K372-L372</f>
        <v>0</v>
      </c>
      <c r="N372" s="40">
        <f>(+J372+M372)/2*12.5/100</f>
        <v>0</v>
      </c>
      <c r="O372" s="13">
        <f>+N372</f>
        <v>0</v>
      </c>
      <c r="P372" s="13">
        <v>0</v>
      </c>
      <c r="Q372" s="13">
        <v>0</v>
      </c>
      <c r="R372" s="7"/>
    </row>
    <row r="373" spans="1:18" ht="12.75">
      <c r="A373" s="93"/>
      <c r="B373" s="94"/>
      <c r="C373" s="93"/>
      <c r="D373" s="93"/>
      <c r="E373" s="93"/>
      <c r="F373" s="93"/>
      <c r="G373" s="93"/>
      <c r="H373" s="93"/>
      <c r="I373" s="93"/>
      <c r="J373" s="31">
        <f aca="true" t="shared" si="72" ref="J373:Q373">+J371+J372</f>
        <v>0</v>
      </c>
      <c r="K373" s="31">
        <f t="shared" si="72"/>
        <v>0</v>
      </c>
      <c r="L373" s="31">
        <f t="shared" si="72"/>
        <v>0</v>
      </c>
      <c r="M373" s="31">
        <f t="shared" si="72"/>
        <v>0</v>
      </c>
      <c r="N373" s="31">
        <f t="shared" si="72"/>
        <v>0</v>
      </c>
      <c r="O373" s="31">
        <f t="shared" si="72"/>
        <v>0</v>
      </c>
      <c r="P373" s="31">
        <f t="shared" si="72"/>
        <v>0</v>
      </c>
      <c r="Q373" s="31">
        <f t="shared" si="72"/>
        <v>0</v>
      </c>
      <c r="R373" s="93"/>
    </row>
    <row r="374" spans="1:18" ht="12.75">
      <c r="A374" s="22" t="s">
        <v>282</v>
      </c>
      <c r="B374" s="64"/>
      <c r="C374" s="7"/>
      <c r="D374" s="7"/>
      <c r="E374" s="7"/>
      <c r="F374" s="7"/>
      <c r="G374" s="7"/>
      <c r="H374" s="7"/>
      <c r="I374" s="7"/>
      <c r="J374" s="8"/>
      <c r="K374" s="8"/>
      <c r="L374" s="8"/>
      <c r="M374" s="8"/>
      <c r="N374" s="8"/>
      <c r="O374" s="8"/>
      <c r="P374" s="8"/>
      <c r="Q374" s="8"/>
      <c r="R374" s="7"/>
    </row>
    <row r="375" spans="1:18" ht="12.75">
      <c r="A375" s="7"/>
      <c r="B375" s="64"/>
      <c r="C375" s="7"/>
      <c r="D375" s="7"/>
      <c r="E375" s="7"/>
      <c r="F375" s="7"/>
      <c r="G375" s="7"/>
      <c r="H375" s="7"/>
      <c r="I375" s="7"/>
      <c r="J375" s="13">
        <f>+M302</f>
        <v>0</v>
      </c>
      <c r="K375" s="7"/>
      <c r="L375" s="7"/>
      <c r="M375" s="13">
        <f>+J375+K375-L375</f>
        <v>0</v>
      </c>
      <c r="N375" s="40">
        <f>(+J375+M375)/2*12.5/100</f>
        <v>0</v>
      </c>
      <c r="O375" s="13">
        <f>+N375</f>
        <v>0</v>
      </c>
      <c r="P375" s="13">
        <v>0</v>
      </c>
      <c r="Q375" s="13">
        <v>0</v>
      </c>
      <c r="R375" s="7"/>
    </row>
    <row r="376" spans="1:18" ht="12.75">
      <c r="A376" s="7"/>
      <c r="B376" s="64"/>
      <c r="C376" s="7"/>
      <c r="D376" s="7"/>
      <c r="E376" s="7"/>
      <c r="F376" s="7"/>
      <c r="G376" s="7"/>
      <c r="H376" s="7"/>
      <c r="I376" s="7"/>
      <c r="J376" s="13">
        <f>+M303</f>
        <v>0</v>
      </c>
      <c r="K376" s="7"/>
      <c r="L376" s="7"/>
      <c r="M376" s="13">
        <f>+J376+K376-L376</f>
        <v>0</v>
      </c>
      <c r="N376" s="40">
        <f>(+J376+M376)/2*12.5/100</f>
        <v>0</v>
      </c>
      <c r="O376" s="13">
        <f>+N376</f>
        <v>0</v>
      </c>
      <c r="P376" s="13">
        <v>0</v>
      </c>
      <c r="Q376" s="13">
        <v>0</v>
      </c>
      <c r="R376" s="7"/>
    </row>
    <row r="377" spans="1:18" ht="12.75">
      <c r="A377" s="93"/>
      <c r="B377" s="94"/>
      <c r="C377" s="93"/>
      <c r="D377" s="93"/>
      <c r="E377" s="93"/>
      <c r="F377" s="93"/>
      <c r="G377" s="93"/>
      <c r="H377" s="93"/>
      <c r="I377" s="93"/>
      <c r="J377" s="31">
        <f aca="true" t="shared" si="73" ref="J377:Q377">+J375+J376</f>
        <v>0</v>
      </c>
      <c r="K377" s="31">
        <f t="shared" si="73"/>
        <v>0</v>
      </c>
      <c r="L377" s="31">
        <f t="shared" si="73"/>
        <v>0</v>
      </c>
      <c r="M377" s="31">
        <f t="shared" si="73"/>
        <v>0</v>
      </c>
      <c r="N377" s="31">
        <f t="shared" si="73"/>
        <v>0</v>
      </c>
      <c r="O377" s="31">
        <f t="shared" si="73"/>
        <v>0</v>
      </c>
      <c r="P377" s="31">
        <f t="shared" si="73"/>
        <v>0</v>
      </c>
      <c r="Q377" s="31">
        <f t="shared" si="73"/>
        <v>0</v>
      </c>
      <c r="R377" s="93"/>
    </row>
    <row r="378" spans="1:18" ht="12.75">
      <c r="A378" s="22" t="s">
        <v>283</v>
      </c>
      <c r="B378" s="64"/>
      <c r="C378" s="7"/>
      <c r="D378" s="7"/>
      <c r="E378" s="7"/>
      <c r="F378" s="7"/>
      <c r="G378" s="7"/>
      <c r="H378" s="7"/>
      <c r="I378" s="7"/>
      <c r="J378" s="8"/>
      <c r="K378" s="8"/>
      <c r="L378" s="8"/>
      <c r="M378" s="8"/>
      <c r="N378" s="8"/>
      <c r="O378" s="8"/>
      <c r="P378" s="8"/>
      <c r="Q378" s="8"/>
      <c r="R378" s="7"/>
    </row>
    <row r="379" spans="1:18" ht="12.75">
      <c r="A379" s="7"/>
      <c r="B379" s="64"/>
      <c r="C379" s="7"/>
      <c r="D379" s="7"/>
      <c r="E379" s="7"/>
      <c r="F379" s="7"/>
      <c r="G379" s="7"/>
      <c r="H379" s="7"/>
      <c r="I379" s="7"/>
      <c r="J379" s="13">
        <f>+M306</f>
        <v>0</v>
      </c>
      <c r="K379" s="7"/>
      <c r="L379" s="7"/>
      <c r="M379" s="13">
        <f>+J379+K379-L379</f>
        <v>0</v>
      </c>
      <c r="N379" s="40">
        <f>(+J379+M379)/2*12.5/100</f>
        <v>0</v>
      </c>
      <c r="O379" s="13">
        <f>+N379</f>
        <v>0</v>
      </c>
      <c r="P379" s="13">
        <v>0</v>
      </c>
      <c r="Q379" s="13">
        <v>0</v>
      </c>
      <c r="R379" s="7"/>
    </row>
    <row r="380" spans="1:18" ht="12.75">
      <c r="A380" s="7"/>
      <c r="B380" s="64"/>
      <c r="C380" s="7"/>
      <c r="D380" s="7"/>
      <c r="E380" s="7"/>
      <c r="F380" s="7"/>
      <c r="G380" s="7"/>
      <c r="H380" s="7"/>
      <c r="I380" s="7"/>
      <c r="J380" s="13">
        <f>+M307</f>
        <v>0</v>
      </c>
      <c r="K380" s="7"/>
      <c r="L380" s="7"/>
      <c r="M380" s="13">
        <f>+J380+K380-L380</f>
        <v>0</v>
      </c>
      <c r="N380" s="40">
        <f>(+J380+M380)/2*12.5/100</f>
        <v>0</v>
      </c>
      <c r="O380" s="13">
        <f>+N380</f>
        <v>0</v>
      </c>
      <c r="P380" s="13">
        <v>0</v>
      </c>
      <c r="Q380" s="13">
        <v>0</v>
      </c>
      <c r="R380" s="7"/>
    </row>
    <row r="381" spans="1:18" ht="12.75">
      <c r="A381" s="93"/>
      <c r="B381" s="94"/>
      <c r="C381" s="93"/>
      <c r="D381" s="93"/>
      <c r="E381" s="93"/>
      <c r="F381" s="93"/>
      <c r="G381" s="93"/>
      <c r="H381" s="93"/>
      <c r="I381" s="93"/>
      <c r="J381" s="31">
        <f aca="true" t="shared" si="74" ref="J381:Q381">+J379+J380</f>
        <v>0</v>
      </c>
      <c r="K381" s="31">
        <f t="shared" si="74"/>
        <v>0</v>
      </c>
      <c r="L381" s="31">
        <f t="shared" si="74"/>
        <v>0</v>
      </c>
      <c r="M381" s="31">
        <f t="shared" si="74"/>
        <v>0</v>
      </c>
      <c r="N381" s="31">
        <f t="shared" si="74"/>
        <v>0</v>
      </c>
      <c r="O381" s="31">
        <f t="shared" si="74"/>
        <v>0</v>
      </c>
      <c r="P381" s="31">
        <f t="shared" si="74"/>
        <v>0</v>
      </c>
      <c r="Q381" s="31">
        <f t="shared" si="74"/>
        <v>0</v>
      </c>
      <c r="R381" s="93"/>
    </row>
    <row r="382" spans="1:18" ht="12.75">
      <c r="A382" s="22" t="s">
        <v>284</v>
      </c>
      <c r="B382" s="64"/>
      <c r="C382" s="7"/>
      <c r="D382" s="7"/>
      <c r="E382" s="7"/>
      <c r="F382" s="7"/>
      <c r="G382" s="7"/>
      <c r="H382" s="7"/>
      <c r="I382" s="7"/>
      <c r="J382" s="7"/>
      <c r="K382" s="7"/>
      <c r="L382" s="7"/>
      <c r="M382" s="7"/>
      <c r="N382" s="7"/>
      <c r="O382" s="7"/>
      <c r="P382" s="7"/>
      <c r="Q382" s="7"/>
      <c r="R382" s="7"/>
    </row>
    <row r="383" spans="1:18" ht="12.75">
      <c r="A383" s="7"/>
      <c r="B383" s="92">
        <v>53.301</v>
      </c>
      <c r="C383" s="7" t="s">
        <v>285</v>
      </c>
      <c r="D383" s="7"/>
      <c r="E383" s="7"/>
      <c r="F383" s="7"/>
      <c r="G383" s="7"/>
      <c r="H383" s="7"/>
      <c r="I383" s="7"/>
      <c r="J383" s="13">
        <f aca="true" t="shared" si="75" ref="J383:J408">+M310</f>
        <v>8535.42</v>
      </c>
      <c r="K383" s="84">
        <v>2614.64</v>
      </c>
      <c r="L383" s="285">
        <v>1131.24</v>
      </c>
      <c r="M383" s="13">
        <f aca="true" t="shared" si="76" ref="M383:M404">+J383+K383-L383</f>
        <v>10018.82</v>
      </c>
      <c r="N383" s="40">
        <f>(+J383+M383)/2*11/100</f>
        <v>1020.4831999999999</v>
      </c>
      <c r="O383" s="13">
        <f aca="true" t="shared" si="77" ref="O383:O408">+N383</f>
        <v>1020.4831999999999</v>
      </c>
      <c r="P383" s="13">
        <v>0</v>
      </c>
      <c r="Q383" s="13">
        <v>0</v>
      </c>
      <c r="R383" s="7"/>
    </row>
    <row r="384" spans="1:18" ht="12.75">
      <c r="A384" s="7"/>
      <c r="B384" s="92">
        <v>53.71</v>
      </c>
      <c r="C384" s="7" t="s">
        <v>286</v>
      </c>
      <c r="D384" s="7"/>
      <c r="E384" s="7"/>
      <c r="F384" s="7"/>
      <c r="G384" s="7"/>
      <c r="H384" s="7"/>
      <c r="I384" s="7"/>
      <c r="J384" s="13">
        <f t="shared" si="75"/>
        <v>621.7499999999997</v>
      </c>
      <c r="K384" s="84">
        <v>0</v>
      </c>
      <c r="L384" s="285">
        <f>93.96+55.82</f>
        <v>149.78</v>
      </c>
      <c r="M384" s="13">
        <f t="shared" si="76"/>
        <v>471.9699999999997</v>
      </c>
      <c r="N384" s="40">
        <f aca="true" t="shared" si="78" ref="N384:N408">(+J384+M384)/2*11/100</f>
        <v>60.15459999999997</v>
      </c>
      <c r="O384" s="13">
        <f t="shared" si="77"/>
        <v>60.15459999999997</v>
      </c>
      <c r="P384" s="13">
        <v>0</v>
      </c>
      <c r="Q384" s="13">
        <v>0</v>
      </c>
      <c r="R384" s="7"/>
    </row>
    <row r="385" spans="1:18" ht="12.75">
      <c r="A385" s="7"/>
      <c r="B385" s="64">
        <v>53.722</v>
      </c>
      <c r="C385" s="7" t="s">
        <v>290</v>
      </c>
      <c r="D385" s="7"/>
      <c r="E385" s="7"/>
      <c r="F385" s="7"/>
      <c r="G385" s="7"/>
      <c r="H385" s="7"/>
      <c r="I385" s="7"/>
      <c r="J385" s="13">
        <f t="shared" si="75"/>
        <v>-0.009999999999997122</v>
      </c>
      <c r="K385" s="84"/>
      <c r="L385" s="285"/>
      <c r="M385" s="13">
        <f t="shared" si="76"/>
        <v>-0.009999999999997122</v>
      </c>
      <c r="N385" s="40">
        <f t="shared" si="78"/>
        <v>-0.0010999999999996835</v>
      </c>
      <c r="O385" s="13">
        <f t="shared" si="77"/>
        <v>-0.0010999999999996835</v>
      </c>
      <c r="P385" s="13">
        <v>0</v>
      </c>
      <c r="Q385" s="13">
        <v>0</v>
      </c>
      <c r="R385" s="7"/>
    </row>
    <row r="386" spans="1:18" ht="12.75">
      <c r="A386" s="7"/>
      <c r="B386" s="64">
        <v>53.723</v>
      </c>
      <c r="C386" s="7" t="s">
        <v>291</v>
      </c>
      <c r="D386" s="7"/>
      <c r="E386" s="7"/>
      <c r="F386" s="7"/>
      <c r="G386" s="7"/>
      <c r="H386" s="7"/>
      <c r="I386" s="7"/>
      <c r="J386" s="13">
        <f t="shared" si="75"/>
        <v>0</v>
      </c>
      <c r="K386" s="84"/>
      <c r="L386" s="84"/>
      <c r="M386" s="13">
        <f t="shared" si="76"/>
        <v>0</v>
      </c>
      <c r="N386" s="40">
        <f t="shared" si="78"/>
        <v>0</v>
      </c>
      <c r="O386" s="13">
        <f t="shared" si="77"/>
        <v>0</v>
      </c>
      <c r="P386" s="13">
        <v>0</v>
      </c>
      <c r="Q386" s="13">
        <v>0</v>
      </c>
      <c r="R386" s="7"/>
    </row>
    <row r="387" spans="1:18" ht="12.75">
      <c r="A387" s="7"/>
      <c r="B387" s="92">
        <v>53.765</v>
      </c>
      <c r="C387" s="7" t="s">
        <v>292</v>
      </c>
      <c r="D387" s="7"/>
      <c r="E387" s="7"/>
      <c r="F387" s="7"/>
      <c r="G387" s="7"/>
      <c r="H387" s="7"/>
      <c r="I387" s="7"/>
      <c r="J387" s="13">
        <f t="shared" si="75"/>
        <v>40.470000000000006</v>
      </c>
      <c r="K387" s="84"/>
      <c r="L387" s="285"/>
      <c r="M387" s="13">
        <f t="shared" si="76"/>
        <v>40.470000000000006</v>
      </c>
      <c r="N387" s="40">
        <f t="shared" si="78"/>
        <v>4.451700000000001</v>
      </c>
      <c r="O387" s="13">
        <f t="shared" si="77"/>
        <v>4.451700000000001</v>
      </c>
      <c r="P387" s="13">
        <v>0</v>
      </c>
      <c r="Q387" s="13">
        <v>0</v>
      </c>
      <c r="R387" s="7"/>
    </row>
    <row r="388" spans="1:18" ht="12.75">
      <c r="A388" s="7"/>
      <c r="B388" s="92">
        <v>53.73</v>
      </c>
      <c r="C388" s="7" t="s">
        <v>389</v>
      </c>
      <c r="D388" s="7"/>
      <c r="E388" s="7"/>
      <c r="F388" s="7"/>
      <c r="G388" s="7"/>
      <c r="H388" s="7"/>
      <c r="I388" s="7"/>
      <c r="J388" s="13">
        <f t="shared" si="75"/>
        <v>0</v>
      </c>
      <c r="K388" s="84"/>
      <c r="L388" s="285"/>
      <c r="M388" s="13">
        <f t="shared" si="76"/>
        <v>0</v>
      </c>
      <c r="N388" s="40">
        <f t="shared" si="78"/>
        <v>0</v>
      </c>
      <c r="O388" s="13">
        <f t="shared" si="77"/>
        <v>0</v>
      </c>
      <c r="P388" s="13">
        <v>0</v>
      </c>
      <c r="Q388" s="13">
        <v>0</v>
      </c>
      <c r="R388" s="7"/>
    </row>
    <row r="389" spans="1:18" ht="12.75">
      <c r="A389" s="7"/>
      <c r="B389" s="64">
        <v>53.745</v>
      </c>
      <c r="C389" s="7" t="s">
        <v>293</v>
      </c>
      <c r="D389" s="7"/>
      <c r="E389" s="7"/>
      <c r="F389" s="7"/>
      <c r="G389" s="7"/>
      <c r="H389" s="7"/>
      <c r="I389" s="7"/>
      <c r="J389" s="13">
        <f t="shared" si="75"/>
        <v>0</v>
      </c>
      <c r="K389" s="84">
        <v>0</v>
      </c>
      <c r="L389" s="84"/>
      <c r="M389" s="13">
        <f t="shared" si="76"/>
        <v>0</v>
      </c>
      <c r="N389" s="40">
        <f t="shared" si="78"/>
        <v>0</v>
      </c>
      <c r="O389" s="13">
        <f t="shared" si="77"/>
        <v>0</v>
      </c>
      <c r="P389" s="13">
        <v>0</v>
      </c>
      <c r="Q389" s="13">
        <v>0</v>
      </c>
      <c r="R389" s="7"/>
    </row>
    <row r="390" spans="1:18" ht="12.75">
      <c r="A390" s="7"/>
      <c r="B390" s="64">
        <v>53.746</v>
      </c>
      <c r="C390" s="7" t="s">
        <v>294</v>
      </c>
      <c r="D390" s="7"/>
      <c r="E390" s="7"/>
      <c r="F390" s="7"/>
      <c r="G390" s="7"/>
      <c r="H390" s="7"/>
      <c r="I390" s="7"/>
      <c r="J390" s="13">
        <f t="shared" si="75"/>
        <v>12.859999999999994</v>
      </c>
      <c r="K390" s="84"/>
      <c r="L390" s="285"/>
      <c r="M390" s="13">
        <f t="shared" si="76"/>
        <v>12.859999999999994</v>
      </c>
      <c r="N390" s="40">
        <f t="shared" si="78"/>
        <v>1.4145999999999992</v>
      </c>
      <c r="O390" s="13">
        <f t="shared" si="77"/>
        <v>1.4145999999999992</v>
      </c>
      <c r="P390" s="13">
        <v>0</v>
      </c>
      <c r="Q390" s="13">
        <v>0</v>
      </c>
      <c r="R390" s="7"/>
    </row>
    <row r="391" spans="1:18" ht="12.75">
      <c r="A391" s="7"/>
      <c r="B391" s="64">
        <v>53.755</v>
      </c>
      <c r="C391" s="7" t="s">
        <v>295</v>
      </c>
      <c r="D391" s="7"/>
      <c r="E391" s="7"/>
      <c r="F391" s="7"/>
      <c r="G391" s="7"/>
      <c r="H391" s="7"/>
      <c r="I391" s="7"/>
      <c r="J391" s="13">
        <f t="shared" si="75"/>
        <v>0</v>
      </c>
      <c r="K391" s="84"/>
      <c r="L391" s="285"/>
      <c r="M391" s="13">
        <f t="shared" si="76"/>
        <v>0</v>
      </c>
      <c r="N391" s="40">
        <f t="shared" si="78"/>
        <v>0</v>
      </c>
      <c r="O391" s="13">
        <f t="shared" si="77"/>
        <v>0</v>
      </c>
      <c r="P391" s="13">
        <v>0</v>
      </c>
      <c r="Q391" s="13">
        <v>0</v>
      </c>
      <c r="R391" s="7"/>
    </row>
    <row r="392" spans="1:18" ht="12.75">
      <c r="A392" s="7"/>
      <c r="B392" s="64">
        <v>53.756</v>
      </c>
      <c r="C392" s="7" t="s">
        <v>296</v>
      </c>
      <c r="D392" s="7"/>
      <c r="E392" s="7"/>
      <c r="F392" s="7"/>
      <c r="G392" s="7"/>
      <c r="H392" s="7"/>
      <c r="I392" s="7"/>
      <c r="J392" s="13">
        <f t="shared" si="75"/>
        <v>0</v>
      </c>
      <c r="K392" s="84"/>
      <c r="L392" s="285"/>
      <c r="M392" s="13">
        <f t="shared" si="76"/>
        <v>0</v>
      </c>
      <c r="N392" s="40">
        <f t="shared" si="78"/>
        <v>0</v>
      </c>
      <c r="O392" s="13">
        <f t="shared" si="77"/>
        <v>0</v>
      </c>
      <c r="P392" s="13">
        <v>0</v>
      </c>
      <c r="Q392" s="13">
        <v>0</v>
      </c>
      <c r="R392" s="7"/>
    </row>
    <row r="393" spans="1:18" ht="12.75">
      <c r="A393" s="7"/>
      <c r="B393" s="64">
        <v>53.764</v>
      </c>
      <c r="C393" s="7" t="s">
        <v>297</v>
      </c>
      <c r="D393" s="7"/>
      <c r="E393" s="7"/>
      <c r="F393" s="7"/>
      <c r="G393" s="7"/>
      <c r="H393" s="7"/>
      <c r="I393" s="7"/>
      <c r="J393" s="13">
        <f t="shared" si="75"/>
        <v>-0.0010000000000047748</v>
      </c>
      <c r="K393" s="84"/>
      <c r="L393" s="285"/>
      <c r="M393" s="13">
        <f t="shared" si="76"/>
        <v>-0.0010000000000047748</v>
      </c>
      <c r="N393" s="40">
        <f t="shared" si="78"/>
        <v>-0.00011000000000052523</v>
      </c>
      <c r="O393" s="13">
        <f t="shared" si="77"/>
        <v>-0.00011000000000052523</v>
      </c>
      <c r="P393" s="13">
        <v>0</v>
      </c>
      <c r="Q393" s="13">
        <v>0</v>
      </c>
      <c r="R393" s="7"/>
    </row>
    <row r="394" spans="1:18" ht="12.75">
      <c r="A394" s="7"/>
      <c r="B394" s="64">
        <v>53.766</v>
      </c>
      <c r="C394" s="7" t="s">
        <v>298</v>
      </c>
      <c r="D394" s="7"/>
      <c r="E394" s="7"/>
      <c r="F394" s="7"/>
      <c r="G394" s="7"/>
      <c r="H394" s="7"/>
      <c r="I394" s="7"/>
      <c r="J394" s="13">
        <f t="shared" si="75"/>
        <v>0</v>
      </c>
      <c r="K394" s="84"/>
      <c r="L394" s="285"/>
      <c r="M394" s="13">
        <f t="shared" si="76"/>
        <v>0</v>
      </c>
      <c r="N394" s="40">
        <f t="shared" si="78"/>
        <v>0</v>
      </c>
      <c r="O394" s="13">
        <f t="shared" si="77"/>
        <v>0</v>
      </c>
      <c r="P394" s="13">
        <v>0</v>
      </c>
      <c r="Q394" s="13">
        <v>0</v>
      </c>
      <c r="R394" s="7"/>
    </row>
    <row r="395" spans="1:18" ht="12.75">
      <c r="A395" s="7"/>
      <c r="B395" s="64">
        <v>53.767</v>
      </c>
      <c r="C395" s="7" t="s">
        <v>299</v>
      </c>
      <c r="D395" s="7"/>
      <c r="E395" s="7"/>
      <c r="F395" s="7"/>
      <c r="G395" s="7"/>
      <c r="H395" s="7"/>
      <c r="I395" s="7"/>
      <c r="J395" s="13">
        <f t="shared" si="75"/>
        <v>0</v>
      </c>
      <c r="K395" s="84"/>
      <c r="L395" s="84"/>
      <c r="M395" s="13">
        <f t="shared" si="76"/>
        <v>0</v>
      </c>
      <c r="N395" s="40">
        <f t="shared" si="78"/>
        <v>0</v>
      </c>
      <c r="O395" s="13">
        <f t="shared" si="77"/>
        <v>0</v>
      </c>
      <c r="P395" s="13">
        <v>0</v>
      </c>
      <c r="Q395" s="13">
        <v>0</v>
      </c>
      <c r="R395" s="7"/>
    </row>
    <row r="396" spans="1:18" ht="12.75">
      <c r="A396" s="7"/>
      <c r="B396" s="64">
        <v>73.768</v>
      </c>
      <c r="C396" s="7" t="s">
        <v>300</v>
      </c>
      <c r="D396" s="7"/>
      <c r="E396" s="7"/>
      <c r="F396" s="7"/>
      <c r="G396" s="7"/>
      <c r="H396" s="7"/>
      <c r="I396" s="7"/>
      <c r="J396" s="13">
        <f t="shared" si="75"/>
        <v>3.885780586188048E-15</v>
      </c>
      <c r="K396" s="84"/>
      <c r="L396" s="285"/>
      <c r="M396" s="13">
        <f t="shared" si="76"/>
        <v>3.885780586188048E-15</v>
      </c>
      <c r="N396" s="40">
        <f t="shared" si="78"/>
        <v>4.274358644806853E-16</v>
      </c>
      <c r="O396" s="13">
        <f t="shared" si="77"/>
        <v>4.274358644806853E-16</v>
      </c>
      <c r="P396" s="13">
        <v>0</v>
      </c>
      <c r="Q396" s="13">
        <v>0</v>
      </c>
      <c r="R396" s="7"/>
    </row>
    <row r="397" spans="1:18" ht="12.75">
      <c r="A397" s="7"/>
      <c r="B397" s="92">
        <v>53.769</v>
      </c>
      <c r="C397" s="7" t="s">
        <v>301</v>
      </c>
      <c r="D397" s="7"/>
      <c r="E397" s="7"/>
      <c r="F397" s="7"/>
      <c r="G397" s="7"/>
      <c r="H397" s="7"/>
      <c r="I397" s="7"/>
      <c r="J397" s="13">
        <f t="shared" si="75"/>
        <v>0</v>
      </c>
      <c r="K397" s="84"/>
      <c r="L397" s="285"/>
      <c r="M397" s="13">
        <f t="shared" si="76"/>
        <v>0</v>
      </c>
      <c r="N397" s="40">
        <f t="shared" si="78"/>
        <v>0</v>
      </c>
      <c r="O397" s="13">
        <f t="shared" si="77"/>
        <v>0</v>
      </c>
      <c r="P397" s="13">
        <v>0</v>
      </c>
      <c r="Q397" s="13">
        <v>0</v>
      </c>
      <c r="R397" s="7"/>
    </row>
    <row r="398" spans="1:18" ht="12.75">
      <c r="A398" s="7"/>
      <c r="B398" s="92">
        <v>53.77</v>
      </c>
      <c r="C398" s="7" t="s">
        <v>302</v>
      </c>
      <c r="D398" s="7"/>
      <c r="E398" s="7"/>
      <c r="F398" s="7"/>
      <c r="G398" s="7"/>
      <c r="H398" s="7"/>
      <c r="I398" s="7"/>
      <c r="J398" s="13">
        <f t="shared" si="75"/>
        <v>0</v>
      </c>
      <c r="K398" s="84"/>
      <c r="L398" s="285"/>
      <c r="M398" s="13">
        <f t="shared" si="76"/>
        <v>0</v>
      </c>
      <c r="N398" s="40">
        <f t="shared" si="78"/>
        <v>0</v>
      </c>
      <c r="O398" s="13">
        <f t="shared" si="77"/>
        <v>0</v>
      </c>
      <c r="P398" s="13">
        <v>0</v>
      </c>
      <c r="Q398" s="13">
        <v>0</v>
      </c>
      <c r="R398" s="7"/>
    </row>
    <row r="399" spans="1:18" ht="12.75">
      <c r="A399" s="7"/>
      <c r="B399" s="64">
        <v>53.771</v>
      </c>
      <c r="C399" s="7" t="s">
        <v>303</v>
      </c>
      <c r="D399" s="7"/>
      <c r="E399" s="7"/>
      <c r="F399" s="7"/>
      <c r="G399" s="7"/>
      <c r="H399" s="7"/>
      <c r="I399" s="7"/>
      <c r="J399" s="13">
        <f t="shared" si="75"/>
        <v>0</v>
      </c>
      <c r="K399" s="84"/>
      <c r="L399" s="285"/>
      <c r="M399" s="13">
        <f t="shared" si="76"/>
        <v>0</v>
      </c>
      <c r="N399" s="40">
        <f t="shared" si="78"/>
        <v>0</v>
      </c>
      <c r="O399" s="13">
        <f t="shared" si="77"/>
        <v>0</v>
      </c>
      <c r="P399" s="13">
        <v>0</v>
      </c>
      <c r="Q399" s="13">
        <v>0</v>
      </c>
      <c r="R399" s="7"/>
    </row>
    <row r="400" spans="1:18" ht="12.75">
      <c r="A400" s="7"/>
      <c r="B400" s="64">
        <v>53.774</v>
      </c>
      <c r="C400" s="7" t="s">
        <v>304</v>
      </c>
      <c r="D400" s="7"/>
      <c r="E400" s="7"/>
      <c r="F400" s="7"/>
      <c r="G400" s="7"/>
      <c r="H400" s="7"/>
      <c r="I400" s="7"/>
      <c r="J400" s="13">
        <f t="shared" si="75"/>
        <v>0</v>
      </c>
      <c r="K400" s="84"/>
      <c r="L400" s="84"/>
      <c r="M400" s="13">
        <f t="shared" si="76"/>
        <v>0</v>
      </c>
      <c r="N400" s="40">
        <f t="shared" si="78"/>
        <v>0</v>
      </c>
      <c r="O400" s="13">
        <f t="shared" si="77"/>
        <v>0</v>
      </c>
      <c r="P400" s="13">
        <v>0</v>
      </c>
      <c r="Q400" s="13">
        <v>0</v>
      </c>
      <c r="R400" s="7"/>
    </row>
    <row r="401" spans="1:18" ht="12.75">
      <c r="A401" s="7"/>
      <c r="B401" s="64">
        <v>53.775</v>
      </c>
      <c r="C401" s="7" t="s">
        <v>305</v>
      </c>
      <c r="D401" s="7"/>
      <c r="E401" s="7"/>
      <c r="F401" s="7"/>
      <c r="G401" s="7"/>
      <c r="H401" s="7"/>
      <c r="I401" s="7"/>
      <c r="J401" s="13">
        <f t="shared" si="75"/>
        <v>0</v>
      </c>
      <c r="K401" s="84"/>
      <c r="L401" s="285"/>
      <c r="M401" s="13">
        <f t="shared" si="76"/>
        <v>0</v>
      </c>
      <c r="N401" s="40">
        <f t="shared" si="78"/>
        <v>0</v>
      </c>
      <c r="O401" s="13">
        <f t="shared" si="77"/>
        <v>0</v>
      </c>
      <c r="P401" s="13">
        <v>0</v>
      </c>
      <c r="Q401" s="13">
        <v>0</v>
      </c>
      <c r="R401" s="7"/>
    </row>
    <row r="402" spans="1:18" ht="12.75">
      <c r="A402" s="7"/>
      <c r="B402" s="64">
        <v>53.531</v>
      </c>
      <c r="C402" s="7" t="s">
        <v>306</v>
      </c>
      <c r="D402" s="7"/>
      <c r="E402" s="7"/>
      <c r="F402" s="7"/>
      <c r="G402" s="7"/>
      <c r="H402" s="7"/>
      <c r="I402" s="7"/>
      <c r="J402" s="13">
        <f t="shared" si="75"/>
        <v>153.97000000000006</v>
      </c>
      <c r="K402" s="84"/>
      <c r="L402" s="285">
        <v>24.88</v>
      </c>
      <c r="M402" s="13">
        <f t="shared" si="76"/>
        <v>129.09000000000006</v>
      </c>
      <c r="N402" s="40">
        <f t="shared" si="78"/>
        <v>15.568300000000006</v>
      </c>
      <c r="O402" s="13">
        <f t="shared" si="77"/>
        <v>15.568300000000006</v>
      </c>
      <c r="P402" s="13">
        <v>0</v>
      </c>
      <c r="Q402" s="13">
        <v>0</v>
      </c>
      <c r="R402" s="7"/>
    </row>
    <row r="403" spans="1:18" ht="12.75">
      <c r="A403" s="7"/>
      <c r="B403" s="64">
        <v>53.776</v>
      </c>
      <c r="C403" s="7" t="s">
        <v>307</v>
      </c>
      <c r="D403" s="7"/>
      <c r="E403" s="7"/>
      <c r="F403" s="7"/>
      <c r="G403" s="7"/>
      <c r="H403" s="7"/>
      <c r="I403" s="7"/>
      <c r="J403" s="13">
        <f t="shared" si="75"/>
        <v>0</v>
      </c>
      <c r="K403" s="84"/>
      <c r="L403" s="285"/>
      <c r="M403" s="13">
        <f t="shared" si="76"/>
        <v>0</v>
      </c>
      <c r="N403" s="40">
        <f t="shared" si="78"/>
        <v>0</v>
      </c>
      <c r="O403" s="13">
        <f t="shared" si="77"/>
        <v>0</v>
      </c>
      <c r="P403" s="13">
        <v>0</v>
      </c>
      <c r="Q403" s="13">
        <v>0</v>
      </c>
      <c r="R403" s="7"/>
    </row>
    <row r="404" spans="1:18" ht="12.75">
      <c r="A404" s="7"/>
      <c r="B404" s="64">
        <v>53.777</v>
      </c>
      <c r="C404" s="7" t="s">
        <v>390</v>
      </c>
      <c r="D404" s="7"/>
      <c r="E404" s="7"/>
      <c r="F404" s="7"/>
      <c r="G404" s="7"/>
      <c r="H404" s="7"/>
      <c r="I404" s="7"/>
      <c r="J404" s="13">
        <f t="shared" si="75"/>
        <v>45.38000000000001</v>
      </c>
      <c r="K404" s="84"/>
      <c r="L404" s="285"/>
      <c r="M404" s="13">
        <f t="shared" si="76"/>
        <v>45.38000000000001</v>
      </c>
      <c r="N404" s="40">
        <f t="shared" si="78"/>
        <v>4.991800000000001</v>
      </c>
      <c r="O404" s="13">
        <f t="shared" si="77"/>
        <v>4.991800000000001</v>
      </c>
      <c r="P404" s="13">
        <v>0</v>
      </c>
      <c r="Q404" s="13">
        <v>0</v>
      </c>
      <c r="R404" s="7"/>
    </row>
    <row r="405" spans="1:18" ht="12.75">
      <c r="A405" s="7"/>
      <c r="B405" s="64">
        <v>53.778</v>
      </c>
      <c r="C405" s="7" t="s">
        <v>486</v>
      </c>
      <c r="D405" s="7"/>
      <c r="E405" s="7"/>
      <c r="F405" s="7"/>
      <c r="G405" s="7"/>
      <c r="H405" s="7"/>
      <c r="I405" s="7"/>
      <c r="J405" s="13">
        <f t="shared" si="75"/>
        <v>36.37</v>
      </c>
      <c r="K405" s="84"/>
      <c r="L405" s="285"/>
      <c r="M405" s="13">
        <f>+J405+K405-L405</f>
        <v>36.37</v>
      </c>
      <c r="N405" s="40">
        <f t="shared" si="78"/>
        <v>4.0007</v>
      </c>
      <c r="O405" s="13">
        <f>+N405</f>
        <v>4.0007</v>
      </c>
      <c r="P405" s="13">
        <v>0</v>
      </c>
      <c r="Q405" s="13">
        <v>0</v>
      </c>
      <c r="R405" s="7"/>
    </row>
    <row r="406" spans="1:18" ht="12.75">
      <c r="A406" s="7"/>
      <c r="B406" s="64">
        <v>53.749</v>
      </c>
      <c r="C406" s="7" t="s">
        <v>487</v>
      </c>
      <c r="D406" s="7"/>
      <c r="E406" s="7"/>
      <c r="F406" s="7"/>
      <c r="G406" s="7"/>
      <c r="H406" s="7"/>
      <c r="I406" s="7"/>
      <c r="J406" s="13">
        <f t="shared" si="75"/>
        <v>95.44</v>
      </c>
      <c r="K406" s="84"/>
      <c r="L406" s="285"/>
      <c r="M406" s="13">
        <f>+J406+K406-L406</f>
        <v>95.44</v>
      </c>
      <c r="N406" s="40">
        <f t="shared" si="78"/>
        <v>10.498399999999998</v>
      </c>
      <c r="O406" s="13">
        <f>+N406</f>
        <v>10.498399999999998</v>
      </c>
      <c r="P406" s="13">
        <v>0</v>
      </c>
      <c r="Q406" s="13">
        <v>0</v>
      </c>
      <c r="R406" s="7"/>
    </row>
    <row r="407" spans="1:18" ht="12.75">
      <c r="A407" s="7"/>
      <c r="B407" s="64"/>
      <c r="C407" s="7" t="s">
        <v>488</v>
      </c>
      <c r="D407" s="7"/>
      <c r="E407" s="7"/>
      <c r="F407" s="7"/>
      <c r="G407" s="7"/>
      <c r="H407" s="7"/>
      <c r="I407" s="7"/>
      <c r="J407" s="13">
        <f t="shared" si="75"/>
        <v>86.1</v>
      </c>
      <c r="K407" s="84"/>
      <c r="L407" s="285"/>
      <c r="M407" s="13">
        <f>+J407+K407-L407</f>
        <v>86.1</v>
      </c>
      <c r="N407" s="40">
        <f t="shared" si="78"/>
        <v>9.470999999999998</v>
      </c>
      <c r="O407" s="13">
        <f>+N407</f>
        <v>9.470999999999998</v>
      </c>
      <c r="P407" s="13">
        <v>0</v>
      </c>
      <c r="Q407" s="13">
        <v>0</v>
      </c>
      <c r="R407" s="7"/>
    </row>
    <row r="408" spans="1:18" ht="12.75">
      <c r="A408" s="7"/>
      <c r="B408" s="64"/>
      <c r="C408" s="7" t="s">
        <v>410</v>
      </c>
      <c r="D408" s="7"/>
      <c r="E408" s="7"/>
      <c r="F408" s="7"/>
      <c r="G408" s="7"/>
      <c r="H408" s="7"/>
      <c r="I408" s="7"/>
      <c r="J408" s="13">
        <f t="shared" si="75"/>
        <v>0</v>
      </c>
      <c r="K408" s="84"/>
      <c r="L408" s="285"/>
      <c r="M408" s="13">
        <f>+J408+K408-L408</f>
        <v>0</v>
      </c>
      <c r="N408" s="40">
        <f t="shared" si="78"/>
        <v>0</v>
      </c>
      <c r="O408" s="13">
        <f t="shared" si="77"/>
        <v>0</v>
      </c>
      <c r="P408" s="13">
        <v>0</v>
      </c>
      <c r="Q408" s="13">
        <v>0</v>
      </c>
      <c r="R408" s="7"/>
    </row>
    <row r="409" spans="1:18" ht="12.75">
      <c r="A409" s="93"/>
      <c r="B409" s="94"/>
      <c r="C409" s="93"/>
      <c r="D409" s="93"/>
      <c r="E409" s="93"/>
      <c r="F409" s="93"/>
      <c r="G409" s="93"/>
      <c r="H409" s="93"/>
      <c r="I409" s="93"/>
      <c r="J409" s="31">
        <f aca="true" t="shared" si="79" ref="J409:Q409">SUM(J383:J408)</f>
        <v>9627.749</v>
      </c>
      <c r="K409" s="31">
        <f t="shared" si="79"/>
        <v>2614.64</v>
      </c>
      <c r="L409" s="31">
        <f t="shared" si="79"/>
        <v>1305.9</v>
      </c>
      <c r="M409" s="31">
        <f t="shared" si="79"/>
        <v>10936.489</v>
      </c>
      <c r="N409" s="31">
        <f t="shared" si="79"/>
        <v>1131.0330900000001</v>
      </c>
      <c r="O409" s="31">
        <f t="shared" si="79"/>
        <v>1131.0330900000001</v>
      </c>
      <c r="P409" s="31">
        <f t="shared" si="79"/>
        <v>0</v>
      </c>
      <c r="Q409" s="31">
        <f t="shared" si="79"/>
        <v>0</v>
      </c>
      <c r="R409" s="93"/>
    </row>
    <row r="410" spans="1:18" ht="12.75">
      <c r="A410" s="30"/>
      <c r="B410" s="95"/>
      <c r="C410" s="30"/>
      <c r="D410" s="30"/>
      <c r="E410" s="30"/>
      <c r="F410" s="30"/>
      <c r="G410" s="30"/>
      <c r="H410" s="30"/>
      <c r="I410" s="30"/>
      <c r="J410" s="31">
        <f aca="true" t="shared" si="80" ref="J410:Q410">+J373+J377+J381+J409</f>
        <v>9627.749</v>
      </c>
      <c r="K410" s="31">
        <f t="shared" si="80"/>
        <v>2614.64</v>
      </c>
      <c r="L410" s="31">
        <f t="shared" si="80"/>
        <v>1305.9</v>
      </c>
      <c r="M410" s="31">
        <f t="shared" si="80"/>
        <v>10936.489</v>
      </c>
      <c r="N410" s="31">
        <f t="shared" si="80"/>
        <v>1131.0330900000001</v>
      </c>
      <c r="O410" s="31">
        <f t="shared" si="80"/>
        <v>1131.0330900000001</v>
      </c>
      <c r="P410" s="31">
        <f t="shared" si="80"/>
        <v>0</v>
      </c>
      <c r="Q410" s="31">
        <f t="shared" si="80"/>
        <v>0</v>
      </c>
      <c r="R410" s="30"/>
    </row>
    <row r="411" spans="1:18" ht="15.75">
      <c r="A411" s="102" t="s">
        <v>287</v>
      </c>
      <c r="B411" s="64"/>
      <c r="C411" s="7"/>
      <c r="D411" s="7"/>
      <c r="E411" s="7"/>
      <c r="F411" s="7"/>
      <c r="G411" s="7"/>
      <c r="H411" s="7"/>
      <c r="I411" s="7"/>
      <c r="J411" s="7"/>
      <c r="K411" s="7"/>
      <c r="L411" s="7"/>
      <c r="M411" s="7"/>
      <c r="N411" s="7"/>
      <c r="O411" s="7"/>
      <c r="P411" s="7"/>
      <c r="Q411" s="7"/>
      <c r="R411" s="7"/>
    </row>
    <row r="412" spans="1:18" ht="12.75">
      <c r="A412" s="22" t="s">
        <v>281</v>
      </c>
      <c r="B412" s="64"/>
      <c r="C412" s="7"/>
      <c r="D412" s="7"/>
      <c r="E412" s="7"/>
      <c r="F412" s="7"/>
      <c r="G412" s="7"/>
      <c r="H412" s="7"/>
      <c r="I412" s="7"/>
      <c r="J412" s="8"/>
      <c r="K412" s="8"/>
      <c r="L412" s="8"/>
      <c r="M412" s="8"/>
      <c r="N412" s="8"/>
      <c r="O412" s="8"/>
      <c r="P412" s="8"/>
      <c r="Q412" s="8"/>
      <c r="R412" s="7"/>
    </row>
    <row r="413" spans="1:18" ht="12.75">
      <c r="A413" s="22"/>
      <c r="B413" s="64"/>
      <c r="C413" s="7" t="s">
        <v>402</v>
      </c>
      <c r="D413" s="7"/>
      <c r="E413" s="7"/>
      <c r="F413" s="7"/>
      <c r="G413" s="7"/>
      <c r="H413" s="7"/>
      <c r="I413" s="7"/>
      <c r="J413" s="40">
        <f>+M340</f>
        <v>0</v>
      </c>
      <c r="K413" s="8"/>
      <c r="L413" s="40"/>
      <c r="M413" s="13">
        <f>+J413+K413-L413</f>
        <v>0</v>
      </c>
      <c r="N413" s="40">
        <f>(+J413+M413)/2*12.5/100</f>
        <v>0</v>
      </c>
      <c r="O413" s="13">
        <f>+N413</f>
        <v>0</v>
      </c>
      <c r="P413" s="13">
        <v>0</v>
      </c>
      <c r="Q413" s="13">
        <v>0</v>
      </c>
      <c r="R413" s="7"/>
    </row>
    <row r="414" spans="1:18" ht="12.75">
      <c r="A414" s="22"/>
      <c r="B414" s="64"/>
      <c r="C414" s="7" t="s">
        <v>403</v>
      </c>
      <c r="D414" s="7"/>
      <c r="E414" s="7"/>
      <c r="F414" s="7"/>
      <c r="G414" s="7"/>
      <c r="H414" s="7"/>
      <c r="I414" s="7"/>
      <c r="J414" s="40">
        <f>+M341</f>
        <v>0</v>
      </c>
      <c r="K414" s="8"/>
      <c r="L414" s="40"/>
      <c r="M414" s="13">
        <f>+J414+K414-L414</f>
        <v>0</v>
      </c>
      <c r="N414" s="40">
        <f>(+J414+M414)/2*12.5/100</f>
        <v>0</v>
      </c>
      <c r="O414" s="13">
        <f>+N414</f>
        <v>0</v>
      </c>
      <c r="P414" s="13">
        <v>0</v>
      </c>
      <c r="Q414" s="13">
        <v>0</v>
      </c>
      <c r="R414" s="7"/>
    </row>
    <row r="415" spans="1:18" ht="12.75">
      <c r="A415" s="22"/>
      <c r="B415" s="64"/>
      <c r="C415" s="7" t="s">
        <v>404</v>
      </c>
      <c r="D415" s="7"/>
      <c r="E415" s="7"/>
      <c r="F415" s="7"/>
      <c r="G415" s="7"/>
      <c r="H415" s="7"/>
      <c r="I415" s="7"/>
      <c r="J415" s="40">
        <f>+M342</f>
        <v>0</v>
      </c>
      <c r="K415" s="8"/>
      <c r="L415" s="40"/>
      <c r="M415" s="13">
        <f>+J415+K415-L415</f>
        <v>0</v>
      </c>
      <c r="N415" s="40">
        <f>(+J415+M415)/2*12.5/100</f>
        <v>0</v>
      </c>
      <c r="O415" s="13">
        <f>+N415</f>
        <v>0</v>
      </c>
      <c r="P415" s="13">
        <v>0</v>
      </c>
      <c r="Q415" s="13">
        <v>0</v>
      </c>
      <c r="R415" s="7"/>
    </row>
    <row r="416" spans="1:18" ht="12.75">
      <c r="A416" s="7"/>
      <c r="B416" s="64"/>
      <c r="C416" s="7" t="s">
        <v>405</v>
      </c>
      <c r="D416" s="7"/>
      <c r="E416" s="7"/>
      <c r="F416" s="7"/>
      <c r="G416" s="7"/>
      <c r="H416" s="7"/>
      <c r="I416" s="7"/>
      <c r="J416" s="40">
        <f>+M343</f>
        <v>0</v>
      </c>
      <c r="K416" s="13"/>
      <c r="L416" s="13"/>
      <c r="M416" s="13">
        <f>+J416+K416-L416</f>
        <v>0</v>
      </c>
      <c r="N416" s="40">
        <f>(+J416+M416)/2*12.5/100</f>
        <v>0</v>
      </c>
      <c r="O416" s="13">
        <f>+N416</f>
        <v>0</v>
      </c>
      <c r="P416" s="13">
        <v>0</v>
      </c>
      <c r="Q416" s="13">
        <v>0</v>
      </c>
      <c r="R416" s="7"/>
    </row>
    <row r="417" spans="1:18" ht="12.75">
      <c r="A417" s="93"/>
      <c r="B417" s="94"/>
      <c r="C417" s="93"/>
      <c r="D417" s="93"/>
      <c r="E417" s="93"/>
      <c r="F417" s="93"/>
      <c r="G417" s="93"/>
      <c r="H417" s="93"/>
      <c r="I417" s="93"/>
      <c r="J417" s="31">
        <f aca="true" t="shared" si="81" ref="J417:Q417">+J413+J414+J415</f>
        <v>0</v>
      </c>
      <c r="K417" s="31">
        <f t="shared" si="81"/>
        <v>0</v>
      </c>
      <c r="L417" s="31">
        <f t="shared" si="81"/>
        <v>0</v>
      </c>
      <c r="M417" s="31">
        <f t="shared" si="81"/>
        <v>0</v>
      </c>
      <c r="N417" s="31">
        <f t="shared" si="81"/>
        <v>0</v>
      </c>
      <c r="O417" s="31">
        <f t="shared" si="81"/>
        <v>0</v>
      </c>
      <c r="P417" s="31">
        <f t="shared" si="81"/>
        <v>0</v>
      </c>
      <c r="Q417" s="31">
        <f t="shared" si="81"/>
        <v>0</v>
      </c>
      <c r="R417" s="93"/>
    </row>
    <row r="418" spans="1:18" ht="12.75">
      <c r="A418" s="22" t="s">
        <v>282</v>
      </c>
      <c r="B418" s="64"/>
      <c r="C418" s="7"/>
      <c r="D418" s="7"/>
      <c r="E418" s="7"/>
      <c r="F418" s="7"/>
      <c r="G418" s="7"/>
      <c r="H418" s="7"/>
      <c r="I418" s="7"/>
      <c r="J418" s="8"/>
      <c r="K418" s="8"/>
      <c r="L418" s="8"/>
      <c r="M418" s="8"/>
      <c r="N418" s="8"/>
      <c r="O418" s="8"/>
      <c r="P418" s="8"/>
      <c r="Q418" s="8"/>
      <c r="R418" s="7"/>
    </row>
    <row r="419" spans="1:18" ht="12.75">
      <c r="A419" s="7"/>
      <c r="B419" s="64"/>
      <c r="C419" s="7"/>
      <c r="D419" s="7"/>
      <c r="E419" s="7"/>
      <c r="F419" s="7"/>
      <c r="G419" s="7"/>
      <c r="H419" s="7"/>
      <c r="I419" s="7"/>
      <c r="J419" s="13">
        <f>+M346</f>
        <v>0</v>
      </c>
      <c r="K419" s="7"/>
      <c r="L419" s="7"/>
      <c r="M419" s="13">
        <f>+J419+K419-L419</f>
        <v>0</v>
      </c>
      <c r="N419" s="40">
        <f>(+J419+M419)/2*12.5/100</f>
        <v>0</v>
      </c>
      <c r="O419" s="13">
        <f>+N419</f>
        <v>0</v>
      </c>
      <c r="P419" s="13">
        <v>0</v>
      </c>
      <c r="Q419" s="13">
        <v>0</v>
      </c>
      <c r="R419" s="7"/>
    </row>
    <row r="420" spans="1:18" ht="12.75">
      <c r="A420" s="7"/>
      <c r="B420" s="64"/>
      <c r="C420" s="7"/>
      <c r="D420" s="7"/>
      <c r="E420" s="7"/>
      <c r="F420" s="7"/>
      <c r="G420" s="7"/>
      <c r="H420" s="7"/>
      <c r="I420" s="7"/>
      <c r="J420" s="13">
        <f>+M347</f>
        <v>0</v>
      </c>
      <c r="K420" s="7"/>
      <c r="L420" s="7"/>
      <c r="M420" s="13">
        <f>+J420+K420-L420</f>
        <v>0</v>
      </c>
      <c r="N420" s="40">
        <f>(+J420+M420)/2*12.5/100</f>
        <v>0</v>
      </c>
      <c r="O420" s="13">
        <f>+N420</f>
        <v>0</v>
      </c>
      <c r="P420" s="13">
        <v>0</v>
      </c>
      <c r="Q420" s="13">
        <v>0</v>
      </c>
      <c r="R420" s="7"/>
    </row>
    <row r="421" spans="1:18" ht="12.75">
      <c r="A421" s="93"/>
      <c r="B421" s="94"/>
      <c r="C421" s="93"/>
      <c r="D421" s="93"/>
      <c r="E421" s="93"/>
      <c r="F421" s="93"/>
      <c r="G421" s="93"/>
      <c r="H421" s="93"/>
      <c r="I421" s="93"/>
      <c r="J421" s="31">
        <f aca="true" t="shared" si="82" ref="J421:Q421">+J419+J420</f>
        <v>0</v>
      </c>
      <c r="K421" s="31">
        <f t="shared" si="82"/>
        <v>0</v>
      </c>
      <c r="L421" s="31">
        <f t="shared" si="82"/>
        <v>0</v>
      </c>
      <c r="M421" s="31">
        <f t="shared" si="82"/>
        <v>0</v>
      </c>
      <c r="N421" s="31">
        <f t="shared" si="82"/>
        <v>0</v>
      </c>
      <c r="O421" s="31">
        <f t="shared" si="82"/>
        <v>0</v>
      </c>
      <c r="P421" s="31">
        <f t="shared" si="82"/>
        <v>0</v>
      </c>
      <c r="Q421" s="31">
        <f t="shared" si="82"/>
        <v>0</v>
      </c>
      <c r="R421" s="93"/>
    </row>
    <row r="422" spans="1:18" ht="12.75">
      <c r="A422" s="22" t="s">
        <v>283</v>
      </c>
      <c r="B422" s="64"/>
      <c r="C422" s="7"/>
      <c r="D422" s="7"/>
      <c r="E422" s="7"/>
      <c r="F422" s="7"/>
      <c r="G422" s="7"/>
      <c r="H422" s="7"/>
      <c r="I422" s="7"/>
      <c r="J422" s="8"/>
      <c r="K422" s="8"/>
      <c r="L422" s="8"/>
      <c r="M422" s="8"/>
      <c r="N422" s="8"/>
      <c r="O422" s="8"/>
      <c r="P422" s="8"/>
      <c r="Q422" s="8"/>
      <c r="R422" s="7"/>
    </row>
    <row r="423" spans="1:18" ht="12.75">
      <c r="A423" s="7"/>
      <c r="B423" s="92">
        <v>54.2</v>
      </c>
      <c r="C423" s="7" t="s">
        <v>321</v>
      </c>
      <c r="D423" s="7"/>
      <c r="E423" s="7"/>
      <c r="F423" s="7"/>
      <c r="G423" s="7"/>
      <c r="H423" s="7"/>
      <c r="I423" s="7"/>
      <c r="J423" s="13">
        <f>+M350</f>
        <v>272.37999999999994</v>
      </c>
      <c r="K423" s="84"/>
      <c r="L423" s="84"/>
      <c r="M423" s="13">
        <f>+J423+K423-L423</f>
        <v>272.37999999999994</v>
      </c>
      <c r="N423" s="40">
        <f>(+J423+M423)/2*10/100</f>
        <v>27.237999999999992</v>
      </c>
      <c r="O423" s="13">
        <f>+N423</f>
        <v>27.237999999999992</v>
      </c>
      <c r="P423" s="13">
        <v>0</v>
      </c>
      <c r="Q423" s="13">
        <v>0</v>
      </c>
      <c r="R423" s="7"/>
    </row>
    <row r="424" spans="1:18" ht="12.75">
      <c r="A424" s="7"/>
      <c r="B424" s="92"/>
      <c r="C424" s="33" t="s">
        <v>492</v>
      </c>
      <c r="D424" s="7"/>
      <c r="E424" s="7"/>
      <c r="F424" s="7"/>
      <c r="G424" s="7"/>
      <c r="H424" s="7"/>
      <c r="I424" s="7"/>
      <c r="J424" s="13">
        <f>+M351</f>
        <v>649.78</v>
      </c>
      <c r="K424" s="84"/>
      <c r="L424" s="84">
        <v>77.33</v>
      </c>
      <c r="M424" s="13">
        <f>+J424+K424-L424</f>
        <v>572.4499999999999</v>
      </c>
      <c r="N424" s="40">
        <f>(+J424+M424)/2*1.72/100</f>
        <v>10.511178</v>
      </c>
      <c r="O424" s="13">
        <f>+N424</f>
        <v>10.511178</v>
      </c>
      <c r="P424" s="13">
        <v>0</v>
      </c>
      <c r="Q424" s="13">
        <v>0</v>
      </c>
      <c r="R424" s="7"/>
    </row>
    <row r="425" spans="1:18" ht="12.75">
      <c r="A425" s="7"/>
      <c r="B425" s="92"/>
      <c r="C425" s="33" t="s">
        <v>493</v>
      </c>
      <c r="D425" s="7"/>
      <c r="E425" s="7"/>
      <c r="F425" s="7"/>
      <c r="G425" s="7"/>
      <c r="H425" s="7"/>
      <c r="I425" s="7"/>
      <c r="J425" s="13">
        <f>+M352</f>
        <v>469.95</v>
      </c>
      <c r="K425" s="84"/>
      <c r="L425" s="84">
        <v>63.42</v>
      </c>
      <c r="M425" s="13">
        <f>+J425+K425-L425</f>
        <v>406.53</v>
      </c>
      <c r="N425" s="40">
        <f>(+J425+M425)/2*10/100</f>
        <v>43.824</v>
      </c>
      <c r="O425" s="13">
        <f>+N425</f>
        <v>43.824</v>
      </c>
      <c r="P425" s="13">
        <v>0</v>
      </c>
      <c r="Q425" s="13">
        <v>0</v>
      </c>
      <c r="R425" s="7"/>
    </row>
    <row r="426" spans="1:18" ht="12.75">
      <c r="A426" s="7"/>
      <c r="B426" s="92"/>
      <c r="C426" s="158" t="s">
        <v>494</v>
      </c>
      <c r="D426" s="7"/>
      <c r="E426" s="7"/>
      <c r="F426" s="7"/>
      <c r="G426" s="7"/>
      <c r="H426" s="7"/>
      <c r="I426" s="7"/>
      <c r="J426" s="13">
        <f>+M353</f>
        <v>641.6399999999999</v>
      </c>
      <c r="K426" s="84"/>
      <c r="L426" s="84">
        <v>45.91</v>
      </c>
      <c r="M426" s="13">
        <f>+J426+K426-L426</f>
        <v>595.7299999999999</v>
      </c>
      <c r="N426" s="40">
        <f>(+J426+M426)/2*10/100</f>
        <v>61.8685</v>
      </c>
      <c r="O426" s="13">
        <f>+N426</f>
        <v>61.8685</v>
      </c>
      <c r="P426" s="13">
        <v>0</v>
      </c>
      <c r="Q426" s="13">
        <v>0</v>
      </c>
      <c r="R426" s="7"/>
    </row>
    <row r="427" spans="1:18" ht="12.75">
      <c r="A427" s="93"/>
      <c r="B427" s="94"/>
      <c r="C427" s="93"/>
      <c r="D427" s="93"/>
      <c r="E427" s="93"/>
      <c r="F427" s="93"/>
      <c r="G427" s="93"/>
      <c r="H427" s="93"/>
      <c r="I427" s="93"/>
      <c r="J427" s="31">
        <f>SUM(J423:J426)</f>
        <v>2033.7499999999998</v>
      </c>
      <c r="K427" s="31">
        <f aca="true" t="shared" si="83" ref="K427:Q427">SUM(K423:K426)</f>
        <v>0</v>
      </c>
      <c r="L427" s="31">
        <f t="shared" si="83"/>
        <v>186.66</v>
      </c>
      <c r="M427" s="31">
        <f t="shared" si="83"/>
        <v>1847.0899999999997</v>
      </c>
      <c r="N427" s="31">
        <f t="shared" si="83"/>
        <v>143.44167799999997</v>
      </c>
      <c r="O427" s="31">
        <f t="shared" si="83"/>
        <v>143.44167799999997</v>
      </c>
      <c r="P427" s="31">
        <f t="shared" si="83"/>
        <v>0</v>
      </c>
      <c r="Q427" s="31">
        <f t="shared" si="83"/>
        <v>0</v>
      </c>
      <c r="R427" s="93"/>
    </row>
    <row r="428" spans="1:18" ht="12.75">
      <c r="A428" s="22" t="s">
        <v>284</v>
      </c>
      <c r="B428" s="64"/>
      <c r="C428" s="7"/>
      <c r="D428" s="7"/>
      <c r="E428" s="7"/>
      <c r="F428" s="7"/>
      <c r="G428" s="7"/>
      <c r="H428" s="7"/>
      <c r="I428" s="7"/>
      <c r="J428" s="7"/>
      <c r="K428" s="7"/>
      <c r="L428" s="7"/>
      <c r="M428" s="7"/>
      <c r="N428" s="7"/>
      <c r="O428" s="7"/>
      <c r="P428" s="7"/>
      <c r="Q428" s="7"/>
      <c r="R428" s="7"/>
    </row>
    <row r="429" spans="1:18" ht="12.75">
      <c r="A429" s="7"/>
      <c r="B429" s="92">
        <v>52.501</v>
      </c>
      <c r="C429" s="7" t="s">
        <v>308</v>
      </c>
      <c r="D429" s="7"/>
      <c r="E429" s="7"/>
      <c r="F429" s="7"/>
      <c r="G429" s="7"/>
      <c r="H429" s="7"/>
      <c r="I429" s="7"/>
      <c r="J429" s="13">
        <f>+M356</f>
        <v>0</v>
      </c>
      <c r="K429" s="7"/>
      <c r="L429" s="7"/>
      <c r="M429" s="13">
        <f>+J429+K429-L429</f>
        <v>0</v>
      </c>
      <c r="N429" s="40">
        <f>(+J429+M429)/2*12.5/100</f>
        <v>0</v>
      </c>
      <c r="O429" s="13">
        <f>+N429</f>
        <v>0</v>
      </c>
      <c r="P429" s="13">
        <v>0</v>
      </c>
      <c r="Q429" s="13">
        <v>0</v>
      </c>
      <c r="R429" s="7"/>
    </row>
    <row r="430" spans="1:18" ht="12.75">
      <c r="A430" s="7"/>
      <c r="B430" s="92">
        <v>53.61</v>
      </c>
      <c r="C430" s="7" t="s">
        <v>309</v>
      </c>
      <c r="D430" s="7"/>
      <c r="E430" s="7"/>
      <c r="F430" s="7"/>
      <c r="G430" s="7"/>
      <c r="H430" s="7"/>
      <c r="I430" s="7"/>
      <c r="J430" s="13">
        <f>+M357</f>
        <v>0</v>
      </c>
      <c r="K430" s="7"/>
      <c r="L430" s="7"/>
      <c r="M430" s="13">
        <f>+J430+K430-L430</f>
        <v>0</v>
      </c>
      <c r="N430" s="40">
        <f>(+J430+M430)/2*12.5/100</f>
        <v>0</v>
      </c>
      <c r="O430" s="13">
        <f>+N430</f>
        <v>0</v>
      </c>
      <c r="P430" s="13">
        <v>0</v>
      </c>
      <c r="Q430" s="13">
        <v>0</v>
      </c>
      <c r="R430" s="7"/>
    </row>
    <row r="431" spans="1:18" ht="12.75">
      <c r="A431" s="7"/>
      <c r="B431" s="92"/>
      <c r="C431" s="7" t="s">
        <v>409</v>
      </c>
      <c r="D431" s="7"/>
      <c r="E431" s="7"/>
      <c r="F431" s="7"/>
      <c r="G431" s="7"/>
      <c r="H431" s="7"/>
      <c r="I431" s="7"/>
      <c r="J431" s="13"/>
      <c r="K431" s="7"/>
      <c r="L431" s="7"/>
      <c r="M431" s="13">
        <f>+J431+K431-L431</f>
        <v>0</v>
      </c>
      <c r="N431" s="40">
        <f>(+J431+M431)/2*12.5/100</f>
        <v>0</v>
      </c>
      <c r="O431" s="13">
        <f>+N431</f>
        <v>0</v>
      </c>
      <c r="P431" s="13">
        <v>0</v>
      </c>
      <c r="Q431" s="13">
        <v>0</v>
      </c>
      <c r="R431" s="7"/>
    </row>
    <row r="432" spans="1:18" ht="12.75">
      <c r="A432" s="93"/>
      <c r="B432" s="94"/>
      <c r="C432" s="93"/>
      <c r="D432" s="93"/>
      <c r="E432" s="93"/>
      <c r="F432" s="93"/>
      <c r="G432" s="93"/>
      <c r="H432" s="93"/>
      <c r="I432" s="93"/>
      <c r="J432" s="31">
        <f>SUM(J429:J431)</f>
        <v>0</v>
      </c>
      <c r="K432" s="31">
        <f aca="true" t="shared" si="84" ref="K432:Q432">SUM(K429:K431)</f>
        <v>0</v>
      </c>
      <c r="L432" s="31">
        <f t="shared" si="84"/>
        <v>0</v>
      </c>
      <c r="M432" s="31">
        <f t="shared" si="84"/>
        <v>0</v>
      </c>
      <c r="N432" s="31">
        <f t="shared" si="84"/>
        <v>0</v>
      </c>
      <c r="O432" s="31">
        <f t="shared" si="84"/>
        <v>0</v>
      </c>
      <c r="P432" s="31">
        <f t="shared" si="84"/>
        <v>0</v>
      </c>
      <c r="Q432" s="31">
        <f t="shared" si="84"/>
        <v>0</v>
      </c>
      <c r="R432" s="93"/>
    </row>
    <row r="433" spans="1:18" ht="12.75">
      <c r="A433" s="30"/>
      <c r="B433" s="95"/>
      <c r="C433" s="30"/>
      <c r="D433" s="30"/>
      <c r="E433" s="30"/>
      <c r="F433" s="30"/>
      <c r="G433" s="30"/>
      <c r="H433" s="30"/>
      <c r="I433" s="30"/>
      <c r="J433" s="31">
        <f aca="true" t="shared" si="85" ref="J433:Q433">+J417+J421+J427+J432</f>
        <v>2033.7499999999998</v>
      </c>
      <c r="K433" s="31">
        <f t="shared" si="85"/>
        <v>0</v>
      </c>
      <c r="L433" s="31">
        <f t="shared" si="85"/>
        <v>186.66</v>
      </c>
      <c r="M433" s="31">
        <f t="shared" si="85"/>
        <v>1847.0899999999997</v>
      </c>
      <c r="N433" s="31">
        <f t="shared" si="85"/>
        <v>143.44167799999997</v>
      </c>
      <c r="O433" s="31">
        <f t="shared" si="85"/>
        <v>143.44167799999997</v>
      </c>
      <c r="P433" s="31">
        <f t="shared" si="85"/>
        <v>0</v>
      </c>
      <c r="Q433" s="31">
        <f t="shared" si="85"/>
        <v>0</v>
      </c>
      <c r="R433" s="30"/>
    </row>
    <row r="434" spans="1:18" ht="12.75">
      <c r="A434" s="30"/>
      <c r="B434" s="95"/>
      <c r="C434" s="30"/>
      <c r="D434" s="30"/>
      <c r="E434" s="30"/>
      <c r="F434" s="30"/>
      <c r="G434" s="30"/>
      <c r="H434" s="30"/>
      <c r="I434" s="30"/>
      <c r="J434" s="31">
        <f aca="true" t="shared" si="86" ref="J434:Q434">+J410+J433</f>
        <v>11661.499</v>
      </c>
      <c r="K434" s="31">
        <f t="shared" si="86"/>
        <v>2614.64</v>
      </c>
      <c r="L434" s="31">
        <f t="shared" si="86"/>
        <v>1492.5600000000002</v>
      </c>
      <c r="M434" s="31">
        <f t="shared" si="86"/>
        <v>12783.579</v>
      </c>
      <c r="N434" s="31">
        <f t="shared" si="86"/>
        <v>1274.474768</v>
      </c>
      <c r="O434" s="31">
        <f t="shared" si="86"/>
        <v>1274.474768</v>
      </c>
      <c r="P434" s="31">
        <f t="shared" si="86"/>
        <v>0</v>
      </c>
      <c r="Q434" s="31">
        <f t="shared" si="86"/>
        <v>0</v>
      </c>
      <c r="R434" s="31"/>
    </row>
    <row r="435" ht="12.75">
      <c r="L435">
        <v>18.38</v>
      </c>
    </row>
    <row r="437" spans="10:13" ht="12.75">
      <c r="J437" s="15" t="s">
        <v>516</v>
      </c>
      <c r="M437" s="20">
        <v>1902</v>
      </c>
    </row>
    <row r="438" spans="10:13" ht="12.75">
      <c r="J438" s="15" t="s">
        <v>517</v>
      </c>
      <c r="M438" s="20">
        <f>M434-M437</f>
        <v>10881.579</v>
      </c>
    </row>
  </sheetData>
  <sheetProtection/>
  <mergeCells count="1">
    <mergeCell ref="A1:C1"/>
  </mergeCells>
  <printOptions horizontalCentered="1"/>
  <pageMargins left="0.24" right="0.21" top="0.29" bottom="0.29" header="0.2" footer="0.2"/>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I500"/>
  <sheetViews>
    <sheetView tabSelected="1" view="pageBreakPreview" zoomScale="60" zoomScalePageLayoutView="0" workbookViewId="0" topLeftCell="A472">
      <selection activeCell="N24" sqref="N24"/>
    </sheetView>
  </sheetViews>
  <sheetFormatPr defaultColWidth="9.140625" defaultRowHeight="12.75"/>
  <cols>
    <col min="1" max="1" width="8.57421875" style="417" bestFit="1" customWidth="1"/>
    <col min="2" max="2" width="104.8515625" style="326" customWidth="1"/>
    <col min="3" max="3" width="12.7109375" style="418" customWidth="1"/>
    <col min="4" max="4" width="35.8515625" style="326" customWidth="1"/>
    <col min="5" max="5" width="12.00390625" style="326" customWidth="1"/>
    <col min="6" max="6" width="12.421875" style="326" customWidth="1"/>
    <col min="7" max="7" width="11.8515625" style="326" customWidth="1"/>
    <col min="8" max="8" width="13.8515625" style="326" customWidth="1"/>
    <col min="9" max="9" width="14.00390625" style="326" customWidth="1"/>
    <col min="10" max="16384" width="9.140625" style="326" customWidth="1"/>
  </cols>
  <sheetData>
    <row r="1" spans="1:3" ht="14.25">
      <c r="A1" s="323"/>
      <c r="B1" s="324" t="s">
        <v>364</v>
      </c>
      <c r="C1" s="325"/>
    </row>
    <row r="2" spans="1:3" ht="15">
      <c r="A2" s="323"/>
      <c r="B2" s="327" t="s">
        <v>110</v>
      </c>
      <c r="C2" s="325"/>
    </row>
    <row r="3" spans="1:3" ht="15">
      <c r="A3" s="323"/>
      <c r="B3" s="328"/>
      <c r="C3" s="329"/>
    </row>
    <row r="4" spans="1:9" ht="15">
      <c r="A4" s="330"/>
      <c r="B4" s="331" t="s">
        <v>645</v>
      </c>
      <c r="C4" s="332"/>
      <c r="D4" s="328"/>
      <c r="E4" s="324"/>
      <c r="F4" s="328"/>
      <c r="G4" s="333" t="s">
        <v>251</v>
      </c>
      <c r="H4" s="328"/>
      <c r="I4" s="328"/>
    </row>
    <row r="5" spans="1:9" ht="42.75">
      <c r="A5" s="334"/>
      <c r="B5" s="335" t="s">
        <v>0</v>
      </c>
      <c r="C5" s="336" t="s">
        <v>204</v>
      </c>
      <c r="D5" s="337" t="s">
        <v>365</v>
      </c>
      <c r="E5" s="337" t="s">
        <v>366</v>
      </c>
      <c r="F5" s="337" t="s">
        <v>367</v>
      </c>
      <c r="G5" s="337" t="s">
        <v>368</v>
      </c>
      <c r="H5" s="338" t="s">
        <v>369</v>
      </c>
      <c r="I5" s="337" t="s">
        <v>107</v>
      </c>
    </row>
    <row r="6" spans="1:9" s="345" customFormat="1" ht="15">
      <c r="A6" s="339" t="s">
        <v>650</v>
      </c>
      <c r="B6" s="340" t="s">
        <v>651</v>
      </c>
      <c r="C6" s="341">
        <v>2.7</v>
      </c>
      <c r="D6" s="342" t="s">
        <v>652</v>
      </c>
      <c r="E6" s="341" t="s">
        <v>285</v>
      </c>
      <c r="F6" s="343"/>
      <c r="G6" s="343"/>
      <c r="H6" s="343"/>
      <c r="I6" s="344"/>
    </row>
    <row r="7" spans="1:9" s="345" customFormat="1" ht="15">
      <c r="A7" s="339"/>
      <c r="B7" s="340" t="s">
        <v>653</v>
      </c>
      <c r="C7" s="341">
        <v>0.45</v>
      </c>
      <c r="D7" s="342" t="s">
        <v>652</v>
      </c>
      <c r="E7" s="341" t="s">
        <v>285</v>
      </c>
      <c r="F7" s="343"/>
      <c r="G7" s="343"/>
      <c r="H7" s="343"/>
      <c r="I7" s="344"/>
    </row>
    <row r="8" spans="1:9" s="345" customFormat="1" ht="15">
      <c r="A8" s="339"/>
      <c r="B8" s="340" t="s">
        <v>654</v>
      </c>
      <c r="C8" s="341">
        <v>0.36000000000000004</v>
      </c>
      <c r="D8" s="342" t="s">
        <v>655</v>
      </c>
      <c r="E8" s="341" t="s">
        <v>285</v>
      </c>
      <c r="F8" s="343"/>
      <c r="G8" s="343"/>
      <c r="H8" s="343"/>
      <c r="I8" s="344"/>
    </row>
    <row r="9" spans="1:9" s="345" customFormat="1" ht="15">
      <c r="A9" s="339"/>
      <c r="B9" s="340" t="s">
        <v>656</v>
      </c>
      <c r="C9" s="341">
        <v>1.35</v>
      </c>
      <c r="D9" s="342" t="s">
        <v>655</v>
      </c>
      <c r="E9" s="341" t="s">
        <v>657</v>
      </c>
      <c r="F9" s="343"/>
      <c r="G9" s="343"/>
      <c r="H9" s="343"/>
      <c r="I9" s="344"/>
    </row>
    <row r="10" spans="1:9" s="345" customFormat="1" ht="30">
      <c r="A10" s="339"/>
      <c r="B10" s="340" t="s">
        <v>658</v>
      </c>
      <c r="C10" s="341">
        <v>4.05</v>
      </c>
      <c r="D10" s="342" t="s">
        <v>655</v>
      </c>
      <c r="E10" s="341" t="s">
        <v>285</v>
      </c>
      <c r="F10" s="343"/>
      <c r="G10" s="343"/>
      <c r="H10" s="343"/>
      <c r="I10" s="344"/>
    </row>
    <row r="11" spans="1:9" s="345" customFormat="1" ht="30">
      <c r="A11" s="339"/>
      <c r="B11" s="340" t="s">
        <v>659</v>
      </c>
      <c r="C11" s="341">
        <v>4.05</v>
      </c>
      <c r="D11" s="342" t="s">
        <v>655</v>
      </c>
      <c r="E11" s="341" t="s">
        <v>285</v>
      </c>
      <c r="F11" s="343"/>
      <c r="G11" s="343"/>
      <c r="H11" s="343"/>
      <c r="I11" s="344"/>
    </row>
    <row r="12" spans="1:9" s="345" customFormat="1" ht="15">
      <c r="A12" s="339"/>
      <c r="B12" s="340" t="s">
        <v>660</v>
      </c>
      <c r="C12" s="341">
        <v>10.44</v>
      </c>
      <c r="D12" s="342" t="s">
        <v>652</v>
      </c>
      <c r="E12" s="346" t="s">
        <v>285</v>
      </c>
      <c r="F12" s="343"/>
      <c r="G12" s="343"/>
      <c r="H12" s="343"/>
      <c r="I12" s="344"/>
    </row>
    <row r="13" spans="1:9" s="345" customFormat="1" ht="15">
      <c r="A13" s="339"/>
      <c r="B13" s="340" t="s">
        <v>661</v>
      </c>
      <c r="C13" s="341">
        <v>15.866999999999999</v>
      </c>
      <c r="D13" s="342" t="s">
        <v>652</v>
      </c>
      <c r="E13" s="346" t="s">
        <v>285</v>
      </c>
      <c r="F13" s="343"/>
      <c r="G13" s="343"/>
      <c r="H13" s="343"/>
      <c r="I13" s="344"/>
    </row>
    <row r="14" spans="1:9" s="345" customFormat="1" ht="15">
      <c r="A14" s="339"/>
      <c r="B14" s="340" t="s">
        <v>662</v>
      </c>
      <c r="C14" s="341">
        <v>0.7600000000000001</v>
      </c>
      <c r="D14" s="342" t="s">
        <v>663</v>
      </c>
      <c r="E14" s="347" t="s">
        <v>664</v>
      </c>
      <c r="F14" s="343"/>
      <c r="G14" s="343"/>
      <c r="H14" s="343"/>
      <c r="I14" s="344"/>
    </row>
    <row r="15" spans="1:9" s="345" customFormat="1" ht="15">
      <c r="A15" s="339"/>
      <c r="B15" s="340" t="s">
        <v>665</v>
      </c>
      <c r="C15" s="341">
        <v>14.8211863569</v>
      </c>
      <c r="D15" s="342" t="s">
        <v>663</v>
      </c>
      <c r="E15" s="341" t="s">
        <v>285</v>
      </c>
      <c r="F15" s="343"/>
      <c r="G15" s="343"/>
      <c r="H15" s="343"/>
      <c r="I15" s="344"/>
    </row>
    <row r="16" spans="1:9" s="345" customFormat="1" ht="15">
      <c r="A16" s="339"/>
      <c r="B16" s="340" t="s">
        <v>666</v>
      </c>
      <c r="C16" s="341">
        <v>4.5</v>
      </c>
      <c r="D16" s="342" t="s">
        <v>663</v>
      </c>
      <c r="E16" s="346" t="s">
        <v>285</v>
      </c>
      <c r="F16" s="343"/>
      <c r="G16" s="343"/>
      <c r="H16" s="343"/>
      <c r="I16" s="344"/>
    </row>
    <row r="17" spans="1:9" s="345" customFormat="1" ht="15">
      <c r="A17" s="339"/>
      <c r="B17" s="340" t="s">
        <v>667</v>
      </c>
      <c r="C17" s="341">
        <v>29.981700000000004</v>
      </c>
      <c r="D17" s="342" t="s">
        <v>652</v>
      </c>
      <c r="E17" s="348" t="s">
        <v>285</v>
      </c>
      <c r="F17" s="343"/>
      <c r="G17" s="343"/>
      <c r="H17" s="343"/>
      <c r="I17" s="344"/>
    </row>
    <row r="18" spans="1:9" s="345" customFormat="1" ht="15">
      <c r="A18" s="339"/>
      <c r="B18" s="340" t="s">
        <v>668</v>
      </c>
      <c r="C18" s="341">
        <v>41.355000000000004</v>
      </c>
      <c r="D18" s="342" t="s">
        <v>652</v>
      </c>
      <c r="E18" s="341" t="s">
        <v>669</v>
      </c>
      <c r="F18" s="343"/>
      <c r="G18" s="343"/>
      <c r="H18" s="343"/>
      <c r="I18" s="344"/>
    </row>
    <row r="19" spans="1:9" s="345" customFormat="1" ht="30">
      <c r="A19" s="339"/>
      <c r="B19" s="340" t="s">
        <v>670</v>
      </c>
      <c r="C19" s="341">
        <v>50.823</v>
      </c>
      <c r="D19" s="342" t="s">
        <v>652</v>
      </c>
      <c r="E19" s="348" t="s">
        <v>285</v>
      </c>
      <c r="F19" s="343"/>
      <c r="G19" s="343"/>
      <c r="H19" s="343"/>
      <c r="I19" s="344"/>
    </row>
    <row r="20" spans="1:9" s="345" customFormat="1" ht="30">
      <c r="A20" s="339"/>
      <c r="B20" s="340" t="s">
        <v>671</v>
      </c>
      <c r="C20" s="341">
        <v>2.3400000000000003</v>
      </c>
      <c r="D20" s="342" t="s">
        <v>652</v>
      </c>
      <c r="E20" s="348" t="s">
        <v>285</v>
      </c>
      <c r="F20" s="343"/>
      <c r="G20" s="343"/>
      <c r="H20" s="343"/>
      <c r="I20" s="344"/>
    </row>
    <row r="21" spans="1:9" s="345" customFormat="1" ht="30">
      <c r="A21" s="339"/>
      <c r="B21" s="340" t="s">
        <v>672</v>
      </c>
      <c r="C21" s="341">
        <v>40.842499999999994</v>
      </c>
      <c r="D21" s="342" t="s">
        <v>663</v>
      </c>
      <c r="E21" s="341" t="s">
        <v>286</v>
      </c>
      <c r="F21" s="343"/>
      <c r="G21" s="343"/>
      <c r="H21" s="343"/>
      <c r="I21" s="344"/>
    </row>
    <row r="22" spans="1:9" s="345" customFormat="1" ht="15">
      <c r="A22" s="339"/>
      <c r="B22" s="340" t="s">
        <v>673</v>
      </c>
      <c r="C22" s="341">
        <v>53.721</v>
      </c>
      <c r="D22" s="342" t="s">
        <v>655</v>
      </c>
      <c r="E22" s="349" t="s">
        <v>285</v>
      </c>
      <c r="F22" s="343"/>
      <c r="G22" s="343"/>
      <c r="H22" s="343"/>
      <c r="I22" s="344"/>
    </row>
    <row r="23" spans="1:9" s="345" customFormat="1" ht="15">
      <c r="A23" s="339"/>
      <c r="B23" s="340" t="s">
        <v>674</v>
      </c>
      <c r="C23" s="341">
        <v>20.844</v>
      </c>
      <c r="D23" s="342" t="s">
        <v>652</v>
      </c>
      <c r="E23" s="349" t="s">
        <v>285</v>
      </c>
      <c r="F23" s="343"/>
      <c r="G23" s="343"/>
      <c r="H23" s="343"/>
      <c r="I23" s="344"/>
    </row>
    <row r="24" spans="1:9" s="345" customFormat="1" ht="15">
      <c r="A24" s="339"/>
      <c r="B24" s="350" t="s">
        <v>675</v>
      </c>
      <c r="C24" s="341">
        <v>0</v>
      </c>
      <c r="D24" s="342" t="s">
        <v>652</v>
      </c>
      <c r="E24" s="346" t="s">
        <v>285</v>
      </c>
      <c r="F24" s="343"/>
      <c r="G24" s="343"/>
      <c r="H24" s="343"/>
      <c r="I24" s="344"/>
    </row>
    <row r="25" spans="1:9" s="345" customFormat="1" ht="30">
      <c r="A25" s="339"/>
      <c r="B25" s="340" t="s">
        <v>676</v>
      </c>
      <c r="C25" s="341">
        <v>40.32</v>
      </c>
      <c r="D25" s="342" t="s">
        <v>663</v>
      </c>
      <c r="E25" s="341" t="s">
        <v>494</v>
      </c>
      <c r="F25" s="343"/>
      <c r="G25" s="343"/>
      <c r="H25" s="343"/>
      <c r="I25" s="344"/>
    </row>
    <row r="26" spans="1:9" s="345" customFormat="1" ht="30">
      <c r="A26" s="339"/>
      <c r="B26" s="340" t="s">
        <v>677</v>
      </c>
      <c r="C26" s="341">
        <v>59.184000000000005</v>
      </c>
      <c r="D26" s="342" t="s">
        <v>655</v>
      </c>
      <c r="E26" s="349" t="s">
        <v>678</v>
      </c>
      <c r="F26" s="343"/>
      <c r="G26" s="343"/>
      <c r="H26" s="343"/>
      <c r="I26" s="344"/>
    </row>
    <row r="27" spans="1:9" s="345" customFormat="1" ht="30">
      <c r="A27" s="339"/>
      <c r="B27" s="340" t="s">
        <v>679</v>
      </c>
      <c r="C27" s="341">
        <v>24.264000000000003</v>
      </c>
      <c r="D27" s="342" t="s">
        <v>663</v>
      </c>
      <c r="E27" s="341" t="s">
        <v>285</v>
      </c>
      <c r="F27" s="343"/>
      <c r="G27" s="343"/>
      <c r="H27" s="343"/>
      <c r="I27" s="344"/>
    </row>
    <row r="28" spans="1:9" s="345" customFormat="1" ht="30">
      <c r="A28" s="339"/>
      <c r="B28" s="340" t="s">
        <v>680</v>
      </c>
      <c r="C28" s="341">
        <v>11.205</v>
      </c>
      <c r="D28" s="342" t="s">
        <v>663</v>
      </c>
      <c r="E28" s="341" t="s">
        <v>285</v>
      </c>
      <c r="F28" s="343"/>
      <c r="G28" s="343"/>
      <c r="H28" s="343"/>
      <c r="I28" s="344"/>
    </row>
    <row r="29" spans="1:9" s="345" customFormat="1" ht="30">
      <c r="A29" s="339"/>
      <c r="B29" s="340" t="s">
        <v>681</v>
      </c>
      <c r="C29" s="341">
        <v>4.5</v>
      </c>
      <c r="D29" s="342" t="s">
        <v>663</v>
      </c>
      <c r="E29" s="341" t="s">
        <v>285</v>
      </c>
      <c r="F29" s="343"/>
      <c r="G29" s="343"/>
      <c r="H29" s="343"/>
      <c r="I29" s="344"/>
    </row>
    <row r="30" spans="1:9" s="345" customFormat="1" ht="30">
      <c r="A30" s="339"/>
      <c r="B30" s="340" t="s">
        <v>682</v>
      </c>
      <c r="C30" s="341">
        <v>62.226</v>
      </c>
      <c r="D30" s="342" t="s">
        <v>652</v>
      </c>
      <c r="E30" s="341" t="s">
        <v>285</v>
      </c>
      <c r="F30" s="343"/>
      <c r="G30" s="343"/>
      <c r="H30" s="343"/>
      <c r="I30" s="344"/>
    </row>
    <row r="31" spans="1:9" s="345" customFormat="1" ht="30">
      <c r="A31" s="339"/>
      <c r="B31" s="340" t="s">
        <v>683</v>
      </c>
      <c r="C31" s="341">
        <v>5.904</v>
      </c>
      <c r="D31" s="342" t="s">
        <v>652</v>
      </c>
      <c r="E31" s="341" t="s">
        <v>285</v>
      </c>
      <c r="F31" s="343"/>
      <c r="G31" s="343"/>
      <c r="H31" s="343"/>
      <c r="I31" s="344"/>
    </row>
    <row r="32" spans="1:9" s="345" customFormat="1" ht="15">
      <c r="A32" s="339"/>
      <c r="B32" s="340" t="s">
        <v>684</v>
      </c>
      <c r="C32" s="341">
        <v>22.5</v>
      </c>
      <c r="D32" s="342" t="s">
        <v>663</v>
      </c>
      <c r="E32" s="341" t="s">
        <v>285</v>
      </c>
      <c r="F32" s="343"/>
      <c r="G32" s="343"/>
      <c r="H32" s="343"/>
      <c r="I32" s="344"/>
    </row>
    <row r="33" spans="1:9" s="345" customFormat="1" ht="15">
      <c r="A33" s="339"/>
      <c r="B33" s="340" t="s">
        <v>685</v>
      </c>
      <c r="C33" s="341">
        <v>4.5</v>
      </c>
      <c r="D33" s="342" t="s">
        <v>652</v>
      </c>
      <c r="E33" s="341" t="s">
        <v>285</v>
      </c>
      <c r="F33" s="343"/>
      <c r="G33" s="343"/>
      <c r="H33" s="343"/>
      <c r="I33" s="344"/>
    </row>
    <row r="34" spans="1:9" s="345" customFormat="1" ht="15">
      <c r="A34" s="339" t="s">
        <v>686</v>
      </c>
      <c r="B34" s="340" t="s">
        <v>687</v>
      </c>
      <c r="C34" s="351">
        <v>5.274</v>
      </c>
      <c r="D34" s="344" t="s">
        <v>688</v>
      </c>
      <c r="E34" s="352" t="s">
        <v>285</v>
      </c>
      <c r="F34" s="352">
        <v>10.06</v>
      </c>
      <c r="G34" s="353" t="s">
        <v>689</v>
      </c>
      <c r="H34" s="354" t="s">
        <v>690</v>
      </c>
      <c r="I34" s="344"/>
    </row>
    <row r="35" spans="1:9" s="345" customFormat="1" ht="15">
      <c r="A35" s="339"/>
      <c r="B35" s="340" t="s">
        <v>691</v>
      </c>
      <c r="C35" s="351">
        <v>5.157</v>
      </c>
      <c r="D35" s="344" t="s">
        <v>688</v>
      </c>
      <c r="E35" s="352" t="s">
        <v>285</v>
      </c>
      <c r="F35" s="352">
        <v>10.067</v>
      </c>
      <c r="G35" s="353" t="s">
        <v>689</v>
      </c>
      <c r="H35" s="354" t="s">
        <v>690</v>
      </c>
      <c r="I35" s="344"/>
    </row>
    <row r="36" spans="1:9" s="345" customFormat="1" ht="30">
      <c r="A36" s="339"/>
      <c r="B36" s="340" t="s">
        <v>692</v>
      </c>
      <c r="C36" s="351">
        <v>4.235520000000001</v>
      </c>
      <c r="D36" s="344" t="s">
        <v>688</v>
      </c>
      <c r="E36" s="352" t="s">
        <v>293</v>
      </c>
      <c r="F36" s="352">
        <v>10.4</v>
      </c>
      <c r="G36" s="353" t="s">
        <v>693</v>
      </c>
      <c r="H36" s="354" t="s">
        <v>690</v>
      </c>
      <c r="I36" s="344"/>
    </row>
    <row r="37" spans="1:9" s="345" customFormat="1" ht="15">
      <c r="A37" s="339"/>
      <c r="B37" s="340" t="s">
        <v>694</v>
      </c>
      <c r="C37" s="351">
        <v>13.02633</v>
      </c>
      <c r="D37" s="344" t="s">
        <v>688</v>
      </c>
      <c r="E37" s="352" t="s">
        <v>285</v>
      </c>
      <c r="F37" s="352">
        <v>10.067</v>
      </c>
      <c r="G37" s="353" t="s">
        <v>689</v>
      </c>
      <c r="H37" s="354" t="s">
        <v>690</v>
      </c>
      <c r="I37" s="344"/>
    </row>
    <row r="38" spans="1:9" s="345" customFormat="1" ht="15">
      <c r="A38" s="339"/>
      <c r="B38" s="340" t="s">
        <v>695</v>
      </c>
      <c r="C38" s="351">
        <v>7.308000000000001</v>
      </c>
      <c r="D38" s="344" t="s">
        <v>688</v>
      </c>
      <c r="E38" s="352" t="s">
        <v>285</v>
      </c>
      <c r="F38" s="352">
        <v>10.067</v>
      </c>
      <c r="G38" s="353" t="s">
        <v>689</v>
      </c>
      <c r="H38" s="354" t="s">
        <v>690</v>
      </c>
      <c r="I38" s="344"/>
    </row>
    <row r="39" spans="1:9" s="345" customFormat="1" ht="15">
      <c r="A39" s="339"/>
      <c r="B39" s="340" t="s">
        <v>696</v>
      </c>
      <c r="C39" s="351">
        <v>1.8</v>
      </c>
      <c r="D39" s="344" t="s">
        <v>688</v>
      </c>
      <c r="E39" s="352" t="s">
        <v>285</v>
      </c>
      <c r="F39" s="352">
        <v>10.117</v>
      </c>
      <c r="G39" s="353" t="s">
        <v>689</v>
      </c>
      <c r="H39" s="354" t="s">
        <v>690</v>
      </c>
      <c r="I39" s="344"/>
    </row>
    <row r="40" spans="1:9" s="345" customFormat="1" ht="15">
      <c r="A40" s="339"/>
      <c r="B40" s="340" t="s">
        <v>697</v>
      </c>
      <c r="C40" s="351">
        <v>16.27281</v>
      </c>
      <c r="D40" s="344" t="s">
        <v>688</v>
      </c>
      <c r="E40" s="352" t="s">
        <v>285</v>
      </c>
      <c r="F40" s="341">
        <v>10.0585</v>
      </c>
      <c r="G40" s="353" t="s">
        <v>689</v>
      </c>
      <c r="H40" s="354" t="s">
        <v>690</v>
      </c>
      <c r="I40" s="344"/>
    </row>
    <row r="41" spans="1:9" s="345" customFormat="1" ht="15">
      <c r="A41" s="339"/>
      <c r="B41" s="340" t="s">
        <v>698</v>
      </c>
      <c r="C41" s="351">
        <v>9.520020000000002</v>
      </c>
      <c r="D41" s="344" t="s">
        <v>688</v>
      </c>
      <c r="E41" s="352" t="s">
        <v>285</v>
      </c>
      <c r="F41" s="352">
        <v>9.8</v>
      </c>
      <c r="G41" s="353" t="s">
        <v>689</v>
      </c>
      <c r="H41" s="354" t="s">
        <v>690</v>
      </c>
      <c r="I41" s="344"/>
    </row>
    <row r="42" spans="1:9" s="345" customFormat="1" ht="15">
      <c r="A42" s="339"/>
      <c r="B42" s="340" t="s">
        <v>699</v>
      </c>
      <c r="C42" s="351">
        <v>8.5064</v>
      </c>
      <c r="D42" s="344" t="s">
        <v>688</v>
      </c>
      <c r="E42" s="352" t="s">
        <v>700</v>
      </c>
      <c r="F42" s="352">
        <v>10.4</v>
      </c>
      <c r="G42" s="353" t="s">
        <v>693</v>
      </c>
      <c r="H42" s="354" t="s">
        <v>690</v>
      </c>
      <c r="I42" s="344"/>
    </row>
    <row r="43" spans="1:9" s="345" customFormat="1" ht="15">
      <c r="A43" s="339"/>
      <c r="B43" s="340" t="s">
        <v>701</v>
      </c>
      <c r="C43" s="351">
        <v>8.801909999999998</v>
      </c>
      <c r="D43" s="344" t="s">
        <v>688</v>
      </c>
      <c r="E43" s="352" t="s">
        <v>285</v>
      </c>
      <c r="F43" s="352">
        <v>10.1377</v>
      </c>
      <c r="G43" s="353" t="s">
        <v>689</v>
      </c>
      <c r="H43" s="354" t="s">
        <v>690</v>
      </c>
      <c r="I43" s="344"/>
    </row>
    <row r="44" spans="1:9" s="345" customFormat="1" ht="15">
      <c r="A44" s="339"/>
      <c r="B44" s="355" t="s">
        <v>702</v>
      </c>
      <c r="C44" s="351">
        <v>14.072507999999997</v>
      </c>
      <c r="D44" s="344" t="s">
        <v>688</v>
      </c>
      <c r="E44" s="352" t="s">
        <v>285</v>
      </c>
      <c r="F44" s="352">
        <v>10.1417</v>
      </c>
      <c r="G44" s="353" t="s">
        <v>689</v>
      </c>
      <c r="H44" s="354" t="s">
        <v>690</v>
      </c>
      <c r="I44" s="344"/>
    </row>
    <row r="45" spans="1:9" s="345" customFormat="1" ht="15">
      <c r="A45" s="339"/>
      <c r="B45" s="340" t="s">
        <v>703</v>
      </c>
      <c r="C45" s="351">
        <v>3.601260000000001</v>
      </c>
      <c r="D45" s="344" t="s">
        <v>688</v>
      </c>
      <c r="E45" s="352" t="s">
        <v>493</v>
      </c>
      <c r="F45" s="352"/>
      <c r="G45" s="352"/>
      <c r="H45" s="352"/>
      <c r="I45" s="344"/>
    </row>
    <row r="46" spans="1:9" s="345" customFormat="1" ht="30">
      <c r="A46" s="339"/>
      <c r="B46" s="340" t="s">
        <v>704</v>
      </c>
      <c r="C46" s="351">
        <v>9.352</v>
      </c>
      <c r="D46" s="344" t="s">
        <v>688</v>
      </c>
      <c r="E46" s="352" t="s">
        <v>293</v>
      </c>
      <c r="F46" s="352">
        <v>10.4</v>
      </c>
      <c r="G46" s="353" t="s">
        <v>693</v>
      </c>
      <c r="H46" s="354" t="s">
        <v>690</v>
      </c>
      <c r="I46" s="344"/>
    </row>
    <row r="47" spans="1:9" s="345" customFormat="1" ht="15">
      <c r="A47" s="339"/>
      <c r="B47" s="340" t="s">
        <v>705</v>
      </c>
      <c r="C47" s="351">
        <v>3.1140000000000003</v>
      </c>
      <c r="D47" s="344" t="s">
        <v>688</v>
      </c>
      <c r="E47" s="352" t="s">
        <v>285</v>
      </c>
      <c r="F47" s="352">
        <v>10.1171</v>
      </c>
      <c r="G47" s="353" t="s">
        <v>689</v>
      </c>
      <c r="H47" s="354" t="s">
        <v>690</v>
      </c>
      <c r="I47" s="344"/>
    </row>
    <row r="48" spans="1:9" s="345" customFormat="1" ht="15">
      <c r="A48" s="339"/>
      <c r="B48" s="340" t="s">
        <v>706</v>
      </c>
      <c r="C48" s="351">
        <v>2.10276</v>
      </c>
      <c r="D48" s="344" t="s">
        <v>688</v>
      </c>
      <c r="E48" s="352" t="s">
        <v>285</v>
      </c>
      <c r="F48" s="352">
        <v>10.1417</v>
      </c>
      <c r="G48" s="353" t="s">
        <v>689</v>
      </c>
      <c r="H48" s="354" t="s">
        <v>690</v>
      </c>
      <c r="I48" s="344"/>
    </row>
    <row r="49" spans="1:9" s="345" customFormat="1" ht="15">
      <c r="A49" s="339"/>
      <c r="B49" s="340" t="s">
        <v>707</v>
      </c>
      <c r="C49" s="351">
        <v>18.108</v>
      </c>
      <c r="D49" s="344" t="s">
        <v>688</v>
      </c>
      <c r="E49" s="352" t="s">
        <v>285</v>
      </c>
      <c r="F49" s="352">
        <v>10.2</v>
      </c>
      <c r="G49" s="353" t="s">
        <v>689</v>
      </c>
      <c r="H49" s="354" t="s">
        <v>690</v>
      </c>
      <c r="I49" s="344"/>
    </row>
    <row r="50" spans="1:9" s="345" customFormat="1" ht="15">
      <c r="A50" s="339"/>
      <c r="B50" s="355" t="s">
        <v>708</v>
      </c>
      <c r="C50" s="351">
        <v>19.24812</v>
      </c>
      <c r="D50" s="344" t="s">
        <v>688</v>
      </c>
      <c r="E50" s="352" t="s">
        <v>286</v>
      </c>
      <c r="F50" s="352">
        <v>10.4</v>
      </c>
      <c r="G50" s="353" t="s">
        <v>689</v>
      </c>
      <c r="H50" s="354" t="s">
        <v>709</v>
      </c>
      <c r="I50" s="344"/>
    </row>
    <row r="51" spans="1:9" s="345" customFormat="1" ht="15">
      <c r="A51" s="339"/>
      <c r="B51" s="340" t="s">
        <v>710</v>
      </c>
      <c r="C51" s="351">
        <v>11.3625</v>
      </c>
      <c r="D51" s="344" t="s">
        <v>688</v>
      </c>
      <c r="E51" s="341" t="s">
        <v>285</v>
      </c>
      <c r="F51" s="352">
        <v>10.2</v>
      </c>
      <c r="G51" s="353" t="s">
        <v>689</v>
      </c>
      <c r="H51" s="354" t="s">
        <v>690</v>
      </c>
      <c r="I51" s="344"/>
    </row>
    <row r="52" spans="1:9" s="345" customFormat="1" ht="15">
      <c r="A52" s="339"/>
      <c r="B52" s="340" t="s">
        <v>711</v>
      </c>
      <c r="C52" s="351">
        <v>3.6</v>
      </c>
      <c r="D52" s="344" t="s">
        <v>688</v>
      </c>
      <c r="E52" s="352" t="s">
        <v>493</v>
      </c>
      <c r="F52" s="352"/>
      <c r="G52" s="352"/>
      <c r="H52" s="352"/>
      <c r="I52" s="344"/>
    </row>
    <row r="53" spans="1:9" s="345" customFormat="1" ht="15">
      <c r="A53" s="339"/>
      <c r="B53" s="355" t="s">
        <v>712</v>
      </c>
      <c r="C53" s="351">
        <v>20.59074</v>
      </c>
      <c r="D53" s="344" t="s">
        <v>688</v>
      </c>
      <c r="E53" s="352" t="s">
        <v>493</v>
      </c>
      <c r="F53" s="352"/>
      <c r="G53" s="352"/>
      <c r="H53" s="352"/>
      <c r="I53" s="344"/>
    </row>
    <row r="54" spans="1:9" s="345" customFormat="1" ht="45">
      <c r="A54" s="339"/>
      <c r="B54" s="355" t="s">
        <v>713</v>
      </c>
      <c r="C54" s="351">
        <v>274.684716</v>
      </c>
      <c r="D54" s="344" t="s">
        <v>688</v>
      </c>
      <c r="E54" s="352" t="s">
        <v>494</v>
      </c>
      <c r="F54" s="352"/>
      <c r="G54" s="352"/>
      <c r="H54" s="352"/>
      <c r="I54" s="344"/>
    </row>
    <row r="55" spans="1:9" s="345" customFormat="1" ht="15">
      <c r="A55" s="339"/>
      <c r="B55" s="340" t="s">
        <v>714</v>
      </c>
      <c r="C55" s="351">
        <v>12.96</v>
      </c>
      <c r="D55" s="344" t="s">
        <v>688</v>
      </c>
      <c r="E55" s="352" t="s">
        <v>494</v>
      </c>
      <c r="F55" s="352"/>
      <c r="G55" s="352"/>
      <c r="H55" s="352"/>
      <c r="I55" s="344"/>
    </row>
    <row r="56" spans="1:9" s="345" customFormat="1" ht="15">
      <c r="A56" s="339"/>
      <c r="B56" s="340" t="s">
        <v>715</v>
      </c>
      <c r="C56" s="351">
        <v>9.747</v>
      </c>
      <c r="D56" s="344" t="s">
        <v>688</v>
      </c>
      <c r="E56" s="352" t="s">
        <v>285</v>
      </c>
      <c r="F56" s="352">
        <v>10.5</v>
      </c>
      <c r="G56" s="353" t="s">
        <v>689</v>
      </c>
      <c r="H56" s="354" t="s">
        <v>690</v>
      </c>
      <c r="I56" s="344"/>
    </row>
    <row r="57" spans="1:9" s="345" customFormat="1" ht="15">
      <c r="A57" s="339"/>
      <c r="B57" s="355" t="s">
        <v>716</v>
      </c>
      <c r="C57" s="351">
        <v>24.643440000000005</v>
      </c>
      <c r="D57" s="344" t="s">
        <v>688</v>
      </c>
      <c r="E57" s="352" t="s">
        <v>493</v>
      </c>
      <c r="F57" s="352"/>
      <c r="G57" s="352"/>
      <c r="H57" s="352"/>
      <c r="I57" s="344"/>
    </row>
    <row r="58" spans="1:9" s="345" customFormat="1" ht="15">
      <c r="A58" s="339"/>
      <c r="B58" s="340" t="s">
        <v>717</v>
      </c>
      <c r="C58" s="351">
        <v>22.92282</v>
      </c>
      <c r="D58" s="344" t="s">
        <v>688</v>
      </c>
      <c r="E58" s="352" t="s">
        <v>493</v>
      </c>
      <c r="F58" s="352"/>
      <c r="G58" s="352"/>
      <c r="H58" s="352"/>
      <c r="I58" s="344"/>
    </row>
    <row r="59" spans="1:9" s="345" customFormat="1" ht="15">
      <c r="A59" s="339"/>
      <c r="B59" s="340" t="s">
        <v>718</v>
      </c>
      <c r="C59" s="351">
        <v>9.391158</v>
      </c>
      <c r="D59" s="344" t="s">
        <v>688</v>
      </c>
      <c r="E59" s="341" t="s">
        <v>285</v>
      </c>
      <c r="F59" s="352"/>
      <c r="G59" s="341"/>
      <c r="H59" s="341"/>
      <c r="I59" s="344"/>
    </row>
    <row r="60" spans="1:9" s="345" customFormat="1" ht="15">
      <c r="A60" s="339"/>
      <c r="B60" s="340" t="s">
        <v>719</v>
      </c>
      <c r="C60" s="351">
        <v>4.325544</v>
      </c>
      <c r="D60" s="344" t="s">
        <v>688</v>
      </c>
      <c r="E60" s="341" t="s">
        <v>720</v>
      </c>
      <c r="F60" s="352"/>
      <c r="G60" s="341"/>
      <c r="H60" s="341"/>
      <c r="I60" s="344"/>
    </row>
    <row r="61" spans="1:9" s="345" customFormat="1" ht="15">
      <c r="A61" s="339"/>
      <c r="B61" s="340" t="s">
        <v>721</v>
      </c>
      <c r="C61" s="351">
        <v>4.309740000000001</v>
      </c>
      <c r="D61" s="344" t="s">
        <v>688</v>
      </c>
      <c r="E61" s="341" t="s">
        <v>720</v>
      </c>
      <c r="F61" s="352"/>
      <c r="G61" s="341"/>
      <c r="H61" s="341"/>
      <c r="I61" s="344"/>
    </row>
    <row r="62" spans="1:9" s="345" customFormat="1" ht="15">
      <c r="A62" s="339" t="s">
        <v>722</v>
      </c>
      <c r="B62" s="340" t="s">
        <v>723</v>
      </c>
      <c r="C62" s="346">
        <v>0.63</v>
      </c>
      <c r="D62" s="340" t="s">
        <v>724</v>
      </c>
      <c r="E62" s="346" t="s">
        <v>285</v>
      </c>
      <c r="F62" s="346">
        <v>10.75</v>
      </c>
      <c r="G62" s="346" t="s">
        <v>725</v>
      </c>
      <c r="H62" s="346" t="s">
        <v>726</v>
      </c>
      <c r="I62" s="344"/>
    </row>
    <row r="63" spans="1:9" s="345" customFormat="1" ht="15">
      <c r="A63" s="339"/>
      <c r="B63" s="340" t="s">
        <v>727</v>
      </c>
      <c r="C63" s="346">
        <v>7.2</v>
      </c>
      <c r="D63" s="340" t="s">
        <v>724</v>
      </c>
      <c r="E63" s="346" t="s">
        <v>285</v>
      </c>
      <c r="F63" s="346">
        <v>10.75</v>
      </c>
      <c r="G63" s="346" t="s">
        <v>725</v>
      </c>
      <c r="H63" s="346" t="s">
        <v>726</v>
      </c>
      <c r="I63" s="344"/>
    </row>
    <row r="64" spans="1:9" s="345" customFormat="1" ht="15">
      <c r="A64" s="339"/>
      <c r="B64" s="340" t="s">
        <v>728</v>
      </c>
      <c r="C64" s="346">
        <v>10.8</v>
      </c>
      <c r="D64" s="340" t="s">
        <v>724</v>
      </c>
      <c r="E64" s="346" t="s">
        <v>285</v>
      </c>
      <c r="F64" s="346">
        <v>10.75</v>
      </c>
      <c r="G64" s="346" t="s">
        <v>725</v>
      </c>
      <c r="H64" s="346" t="s">
        <v>726</v>
      </c>
      <c r="I64" s="344"/>
    </row>
    <row r="65" spans="1:9" s="345" customFormat="1" ht="15">
      <c r="A65" s="339"/>
      <c r="B65" s="340" t="s">
        <v>729</v>
      </c>
      <c r="C65" s="346">
        <v>4.5</v>
      </c>
      <c r="D65" s="340" t="s">
        <v>724</v>
      </c>
      <c r="E65" s="346" t="s">
        <v>285</v>
      </c>
      <c r="F65" s="346">
        <v>10.75</v>
      </c>
      <c r="G65" s="346" t="s">
        <v>725</v>
      </c>
      <c r="H65" s="346" t="s">
        <v>726</v>
      </c>
      <c r="I65" s="344"/>
    </row>
    <row r="66" spans="1:9" s="345" customFormat="1" ht="30">
      <c r="A66" s="339"/>
      <c r="B66" s="340" t="s">
        <v>730</v>
      </c>
      <c r="C66" s="346">
        <v>1.1700000000000002</v>
      </c>
      <c r="D66" s="340" t="s">
        <v>724</v>
      </c>
      <c r="E66" s="346" t="s">
        <v>285</v>
      </c>
      <c r="F66" s="346">
        <v>10.75</v>
      </c>
      <c r="G66" s="346" t="s">
        <v>725</v>
      </c>
      <c r="H66" s="346" t="s">
        <v>726</v>
      </c>
      <c r="I66" s="344"/>
    </row>
    <row r="67" spans="1:9" s="345" customFormat="1" ht="15">
      <c r="A67" s="339"/>
      <c r="B67" s="340" t="s">
        <v>731</v>
      </c>
      <c r="C67" s="346">
        <v>2.7</v>
      </c>
      <c r="D67" s="340" t="s">
        <v>724</v>
      </c>
      <c r="E67" s="346" t="s">
        <v>285</v>
      </c>
      <c r="F67" s="346">
        <v>10.75</v>
      </c>
      <c r="G67" s="346" t="s">
        <v>725</v>
      </c>
      <c r="H67" s="346" t="s">
        <v>726</v>
      </c>
      <c r="I67" s="344"/>
    </row>
    <row r="68" spans="1:9" s="345" customFormat="1" ht="30">
      <c r="A68" s="339"/>
      <c r="B68" s="340" t="s">
        <v>732</v>
      </c>
      <c r="C68" s="346">
        <v>2.7</v>
      </c>
      <c r="D68" s="340" t="s">
        <v>724</v>
      </c>
      <c r="E68" s="346" t="s">
        <v>285</v>
      </c>
      <c r="F68" s="346">
        <v>10.75</v>
      </c>
      <c r="G68" s="346" t="s">
        <v>725</v>
      </c>
      <c r="H68" s="346" t="s">
        <v>726</v>
      </c>
      <c r="I68" s="344"/>
    </row>
    <row r="69" spans="1:9" s="345" customFormat="1" ht="15">
      <c r="A69" s="339"/>
      <c r="B69" s="355" t="s">
        <v>733</v>
      </c>
      <c r="C69" s="346">
        <v>20.7</v>
      </c>
      <c r="D69" s="355" t="s">
        <v>688</v>
      </c>
      <c r="E69" s="343" t="s">
        <v>285</v>
      </c>
      <c r="F69" s="346">
        <v>10.75</v>
      </c>
      <c r="G69" s="346" t="s">
        <v>725</v>
      </c>
      <c r="H69" s="346" t="s">
        <v>726</v>
      </c>
      <c r="I69" s="344"/>
    </row>
    <row r="70" spans="1:9" s="345" customFormat="1" ht="15">
      <c r="A70" s="356"/>
      <c r="B70" s="357" t="s">
        <v>102</v>
      </c>
      <c r="C70" s="358">
        <f>SUM(C6:C69)</f>
        <v>1132.2966823569</v>
      </c>
      <c r="D70" s="359"/>
      <c r="E70" s="359"/>
      <c r="F70" s="359"/>
      <c r="G70" s="359"/>
      <c r="H70" s="359"/>
      <c r="I70" s="359"/>
    </row>
    <row r="71" spans="1:9" s="345" customFormat="1" ht="15">
      <c r="A71" s="360"/>
      <c r="B71" s="361"/>
      <c r="C71" s="362"/>
      <c r="D71" s="361"/>
      <c r="E71" s="361"/>
      <c r="F71" s="361"/>
      <c r="G71" s="361"/>
      <c r="H71" s="361"/>
      <c r="I71" s="361"/>
    </row>
    <row r="72" spans="1:9" s="345" customFormat="1" ht="15">
      <c r="A72" s="360"/>
      <c r="B72" s="361"/>
      <c r="C72" s="362"/>
      <c r="D72" s="361"/>
      <c r="E72" s="361"/>
      <c r="F72" s="361"/>
      <c r="G72" s="361"/>
      <c r="H72" s="361"/>
      <c r="I72" s="361"/>
    </row>
    <row r="73" spans="1:9" s="366" customFormat="1" ht="15">
      <c r="A73" s="360"/>
      <c r="B73" s="331" t="s">
        <v>476</v>
      </c>
      <c r="C73" s="332"/>
      <c r="D73" s="363"/>
      <c r="E73" s="364"/>
      <c r="F73" s="363"/>
      <c r="G73" s="365" t="s">
        <v>251</v>
      </c>
      <c r="H73" s="363"/>
      <c r="I73" s="363"/>
    </row>
    <row r="74" spans="1:9" s="366" customFormat="1" ht="42.75">
      <c r="A74" s="339"/>
      <c r="B74" s="335" t="s">
        <v>0</v>
      </c>
      <c r="C74" s="336" t="s">
        <v>204</v>
      </c>
      <c r="D74" s="337" t="s">
        <v>365</v>
      </c>
      <c r="E74" s="337" t="s">
        <v>366</v>
      </c>
      <c r="F74" s="337" t="s">
        <v>367</v>
      </c>
      <c r="G74" s="337" t="s">
        <v>368</v>
      </c>
      <c r="H74" s="338" t="s">
        <v>369</v>
      </c>
      <c r="I74" s="337" t="s">
        <v>107</v>
      </c>
    </row>
    <row r="75" spans="1:9" s="345" customFormat="1" ht="30">
      <c r="A75" s="339" t="s">
        <v>650</v>
      </c>
      <c r="B75" s="340" t="s">
        <v>658</v>
      </c>
      <c r="C75" s="341">
        <v>15.3</v>
      </c>
      <c r="D75" s="342" t="s">
        <v>655</v>
      </c>
      <c r="E75" s="341" t="s">
        <v>285</v>
      </c>
      <c r="F75" s="367"/>
      <c r="G75" s="367"/>
      <c r="H75" s="368"/>
      <c r="I75" s="367"/>
    </row>
    <row r="76" spans="1:9" s="345" customFormat="1" ht="30">
      <c r="A76" s="339"/>
      <c r="B76" s="340" t="s">
        <v>659</v>
      </c>
      <c r="C76" s="341">
        <v>14.85</v>
      </c>
      <c r="D76" s="342" t="s">
        <v>655</v>
      </c>
      <c r="E76" s="341" t="s">
        <v>285</v>
      </c>
      <c r="F76" s="367"/>
      <c r="G76" s="367"/>
      <c r="H76" s="368"/>
      <c r="I76" s="367"/>
    </row>
    <row r="77" spans="1:9" s="345" customFormat="1" ht="15">
      <c r="A77" s="339"/>
      <c r="B77" s="340" t="s">
        <v>661</v>
      </c>
      <c r="C77" s="341">
        <v>4.5</v>
      </c>
      <c r="D77" s="342" t="s">
        <v>652</v>
      </c>
      <c r="E77" s="341" t="s">
        <v>285</v>
      </c>
      <c r="F77" s="367"/>
      <c r="G77" s="367"/>
      <c r="H77" s="368"/>
      <c r="I77" s="367"/>
    </row>
    <row r="78" spans="1:9" s="345" customFormat="1" ht="15">
      <c r="A78" s="339"/>
      <c r="B78" s="340" t="s">
        <v>665</v>
      </c>
      <c r="C78" s="341">
        <v>3.357</v>
      </c>
      <c r="D78" s="342" t="s">
        <v>663</v>
      </c>
      <c r="E78" s="341" t="s">
        <v>285</v>
      </c>
      <c r="F78" s="367"/>
      <c r="G78" s="367"/>
      <c r="H78" s="368"/>
      <c r="I78" s="367"/>
    </row>
    <row r="79" spans="1:9" s="345" customFormat="1" ht="15">
      <c r="A79" s="339"/>
      <c r="B79" s="340" t="s">
        <v>666</v>
      </c>
      <c r="C79" s="341">
        <v>9</v>
      </c>
      <c r="D79" s="342" t="s">
        <v>663</v>
      </c>
      <c r="E79" s="341" t="s">
        <v>285</v>
      </c>
      <c r="F79" s="367"/>
      <c r="G79" s="367"/>
      <c r="H79" s="368"/>
      <c r="I79" s="367"/>
    </row>
    <row r="80" spans="1:9" s="345" customFormat="1" ht="15">
      <c r="A80" s="339"/>
      <c r="B80" s="340" t="s">
        <v>667</v>
      </c>
      <c r="C80" s="341">
        <v>4.5</v>
      </c>
      <c r="D80" s="342" t="s">
        <v>652</v>
      </c>
      <c r="E80" s="348" t="s">
        <v>285</v>
      </c>
      <c r="F80" s="367"/>
      <c r="G80" s="367"/>
      <c r="H80" s="368"/>
      <c r="I80" s="367"/>
    </row>
    <row r="81" spans="1:9" s="345" customFormat="1" ht="15">
      <c r="A81" s="339"/>
      <c r="B81" s="340" t="s">
        <v>668</v>
      </c>
      <c r="C81" s="341">
        <v>45</v>
      </c>
      <c r="D81" s="342" t="s">
        <v>652</v>
      </c>
      <c r="E81" s="341" t="s">
        <v>669</v>
      </c>
      <c r="F81" s="367"/>
      <c r="G81" s="367"/>
      <c r="H81" s="368"/>
      <c r="I81" s="367"/>
    </row>
    <row r="82" spans="1:9" s="345" customFormat="1" ht="30">
      <c r="A82" s="339"/>
      <c r="B82" s="340" t="s">
        <v>670</v>
      </c>
      <c r="C82" s="341">
        <v>36</v>
      </c>
      <c r="D82" s="342" t="s">
        <v>652</v>
      </c>
      <c r="E82" s="348" t="s">
        <v>285</v>
      </c>
      <c r="F82" s="367"/>
      <c r="G82" s="367"/>
      <c r="H82" s="368"/>
      <c r="I82" s="367"/>
    </row>
    <row r="83" spans="1:9" s="345" customFormat="1" ht="30">
      <c r="A83" s="339"/>
      <c r="B83" s="340" t="s">
        <v>672</v>
      </c>
      <c r="C83" s="341">
        <v>34</v>
      </c>
      <c r="D83" s="342" t="s">
        <v>663</v>
      </c>
      <c r="E83" s="341" t="s">
        <v>286</v>
      </c>
      <c r="F83" s="367"/>
      <c r="G83" s="367"/>
      <c r="H83" s="368"/>
      <c r="I83" s="367"/>
    </row>
    <row r="84" spans="1:9" s="345" customFormat="1" ht="15">
      <c r="A84" s="339"/>
      <c r="B84" s="340" t="s">
        <v>673</v>
      </c>
      <c r="C84" s="341">
        <v>22.5</v>
      </c>
      <c r="D84" s="342" t="s">
        <v>655</v>
      </c>
      <c r="E84" s="349" t="s">
        <v>285</v>
      </c>
      <c r="F84" s="367"/>
      <c r="G84" s="367"/>
      <c r="H84" s="368"/>
      <c r="I84" s="367"/>
    </row>
    <row r="85" spans="1:9" s="345" customFormat="1" ht="15">
      <c r="A85" s="339"/>
      <c r="B85" s="340" t="s">
        <v>734</v>
      </c>
      <c r="C85" s="341">
        <v>13.5</v>
      </c>
      <c r="D85" s="342" t="s">
        <v>652</v>
      </c>
      <c r="E85" s="349" t="s">
        <v>285</v>
      </c>
      <c r="F85" s="367"/>
      <c r="G85" s="367"/>
      <c r="H85" s="368"/>
      <c r="I85" s="367"/>
    </row>
    <row r="86" spans="1:9" s="345" customFormat="1" ht="15">
      <c r="A86" s="339"/>
      <c r="B86" s="350" t="s">
        <v>675</v>
      </c>
      <c r="C86" s="341">
        <v>9</v>
      </c>
      <c r="D86" s="342" t="s">
        <v>652</v>
      </c>
      <c r="E86" s="341" t="s">
        <v>285</v>
      </c>
      <c r="F86" s="367"/>
      <c r="G86" s="367"/>
      <c r="H86" s="368"/>
      <c r="I86" s="367"/>
    </row>
    <row r="87" spans="1:9" s="345" customFormat="1" ht="30">
      <c r="A87" s="339"/>
      <c r="B87" s="340" t="s">
        <v>676</v>
      </c>
      <c r="C87" s="341">
        <v>45</v>
      </c>
      <c r="D87" s="342" t="s">
        <v>663</v>
      </c>
      <c r="E87" s="341" t="s">
        <v>494</v>
      </c>
      <c r="F87" s="367"/>
      <c r="G87" s="367"/>
      <c r="H87" s="368"/>
      <c r="I87" s="367"/>
    </row>
    <row r="88" spans="1:9" s="345" customFormat="1" ht="30">
      <c r="A88" s="339"/>
      <c r="B88" s="340" t="s">
        <v>677</v>
      </c>
      <c r="C88" s="341">
        <v>36</v>
      </c>
      <c r="D88" s="342" t="s">
        <v>655</v>
      </c>
      <c r="E88" s="349" t="s">
        <v>678</v>
      </c>
      <c r="F88" s="367"/>
      <c r="G88" s="367"/>
      <c r="H88" s="368"/>
      <c r="I88" s="367"/>
    </row>
    <row r="89" spans="1:9" s="345" customFormat="1" ht="30">
      <c r="A89" s="339"/>
      <c r="B89" s="340" t="s">
        <v>679</v>
      </c>
      <c r="C89" s="341">
        <v>36</v>
      </c>
      <c r="D89" s="342" t="s">
        <v>663</v>
      </c>
      <c r="E89" s="349" t="s">
        <v>678</v>
      </c>
      <c r="F89" s="367"/>
      <c r="G89" s="367"/>
      <c r="H89" s="368"/>
      <c r="I89" s="367"/>
    </row>
    <row r="90" spans="1:9" s="345" customFormat="1" ht="30">
      <c r="A90" s="339"/>
      <c r="B90" s="340" t="s">
        <v>680</v>
      </c>
      <c r="C90" s="341">
        <v>36</v>
      </c>
      <c r="D90" s="342" t="s">
        <v>663</v>
      </c>
      <c r="E90" s="349" t="s">
        <v>678</v>
      </c>
      <c r="F90" s="367"/>
      <c r="G90" s="367"/>
      <c r="H90" s="368"/>
      <c r="I90" s="367"/>
    </row>
    <row r="91" spans="1:9" s="345" customFormat="1" ht="30">
      <c r="A91" s="339"/>
      <c r="B91" s="340" t="s">
        <v>735</v>
      </c>
      <c r="C91" s="341">
        <v>22.5</v>
      </c>
      <c r="D91" s="342" t="s">
        <v>663</v>
      </c>
      <c r="E91" s="349" t="s">
        <v>678</v>
      </c>
      <c r="F91" s="367"/>
      <c r="G91" s="367"/>
      <c r="H91" s="368"/>
      <c r="I91" s="367"/>
    </row>
    <row r="92" spans="1:9" s="345" customFormat="1" ht="30">
      <c r="A92" s="339"/>
      <c r="B92" s="340" t="s">
        <v>682</v>
      </c>
      <c r="C92" s="341">
        <v>46.800000000000004</v>
      </c>
      <c r="D92" s="342" t="s">
        <v>652</v>
      </c>
      <c r="E92" s="341" t="s">
        <v>285</v>
      </c>
      <c r="F92" s="367"/>
      <c r="G92" s="367"/>
      <c r="H92" s="368"/>
      <c r="I92" s="367"/>
    </row>
    <row r="93" spans="1:9" s="345" customFormat="1" ht="30">
      <c r="A93" s="339"/>
      <c r="B93" s="340" t="s">
        <v>683</v>
      </c>
      <c r="C93" s="341">
        <v>18</v>
      </c>
      <c r="D93" s="342" t="s">
        <v>652</v>
      </c>
      <c r="E93" s="349" t="s">
        <v>678</v>
      </c>
      <c r="F93" s="343"/>
      <c r="G93" s="343"/>
      <c r="H93" s="343"/>
      <c r="I93" s="343"/>
    </row>
    <row r="94" spans="1:9" s="345" customFormat="1" ht="30">
      <c r="A94" s="339"/>
      <c r="B94" s="340" t="s">
        <v>684</v>
      </c>
      <c r="C94" s="341">
        <v>27</v>
      </c>
      <c r="D94" s="342" t="s">
        <v>663</v>
      </c>
      <c r="E94" s="349" t="s">
        <v>678</v>
      </c>
      <c r="F94" s="343"/>
      <c r="G94" s="343"/>
      <c r="H94" s="343"/>
      <c r="I94" s="343"/>
    </row>
    <row r="95" spans="1:9" s="345" customFormat="1" ht="30">
      <c r="A95" s="339"/>
      <c r="B95" s="340" t="s">
        <v>736</v>
      </c>
      <c r="C95" s="341">
        <v>18</v>
      </c>
      <c r="D95" s="342" t="s">
        <v>652</v>
      </c>
      <c r="E95" s="349" t="s">
        <v>678</v>
      </c>
      <c r="F95" s="343"/>
      <c r="G95" s="343"/>
      <c r="H95" s="343"/>
      <c r="I95" s="343"/>
    </row>
    <row r="96" spans="1:9" s="345" customFormat="1" ht="30">
      <c r="A96" s="339"/>
      <c r="B96" s="340" t="s">
        <v>685</v>
      </c>
      <c r="C96" s="341">
        <v>18</v>
      </c>
      <c r="D96" s="342" t="s">
        <v>652</v>
      </c>
      <c r="E96" s="349" t="s">
        <v>678</v>
      </c>
      <c r="F96" s="343"/>
      <c r="G96" s="343"/>
      <c r="H96" s="343"/>
      <c r="I96" s="343"/>
    </row>
    <row r="97" spans="1:9" s="345" customFormat="1" ht="30">
      <c r="A97" s="339"/>
      <c r="B97" s="340" t="s">
        <v>737</v>
      </c>
      <c r="C97" s="341">
        <v>4.5</v>
      </c>
      <c r="D97" s="342" t="s">
        <v>655</v>
      </c>
      <c r="E97" s="349" t="s">
        <v>678</v>
      </c>
      <c r="F97" s="343"/>
      <c r="G97" s="343"/>
      <c r="H97" s="343"/>
      <c r="I97" s="343"/>
    </row>
    <row r="98" spans="1:9" s="345" customFormat="1" ht="30">
      <c r="A98" s="339"/>
      <c r="B98" s="369" t="s">
        <v>738</v>
      </c>
      <c r="C98" s="341">
        <v>9</v>
      </c>
      <c r="D98" s="370" t="s">
        <v>655</v>
      </c>
      <c r="E98" s="349" t="s">
        <v>678</v>
      </c>
      <c r="F98" s="343"/>
      <c r="G98" s="343"/>
      <c r="H98" s="343"/>
      <c r="I98" s="343"/>
    </row>
    <row r="99" spans="1:9" s="345" customFormat="1" ht="30">
      <c r="A99" s="339"/>
      <c r="B99" s="350" t="s">
        <v>739</v>
      </c>
      <c r="C99" s="341">
        <v>4.5</v>
      </c>
      <c r="D99" s="342" t="s">
        <v>740</v>
      </c>
      <c r="E99" s="349" t="s">
        <v>678</v>
      </c>
      <c r="F99" s="343"/>
      <c r="G99" s="343"/>
      <c r="H99" s="343"/>
      <c r="I99" s="343"/>
    </row>
    <row r="100" spans="1:9" s="345" customFormat="1" ht="15">
      <c r="A100" s="339" t="s">
        <v>686</v>
      </c>
      <c r="B100" s="371" t="s">
        <v>701</v>
      </c>
      <c r="C100" s="351">
        <v>16.06797</v>
      </c>
      <c r="D100" s="344" t="s">
        <v>688</v>
      </c>
      <c r="E100" s="352" t="s">
        <v>285</v>
      </c>
      <c r="F100" s="352">
        <v>10.1377</v>
      </c>
      <c r="G100" s="353" t="s">
        <v>689</v>
      </c>
      <c r="H100" s="354" t="s">
        <v>690</v>
      </c>
      <c r="I100" s="343"/>
    </row>
    <row r="101" spans="1:9" s="345" customFormat="1" ht="15">
      <c r="A101" s="339"/>
      <c r="B101" s="372" t="s">
        <v>702</v>
      </c>
      <c r="C101" s="351">
        <v>9.38169</v>
      </c>
      <c r="D101" s="344" t="s">
        <v>688</v>
      </c>
      <c r="E101" s="352" t="s">
        <v>285</v>
      </c>
      <c r="F101" s="352">
        <v>10.1417</v>
      </c>
      <c r="G101" s="353" t="s">
        <v>689</v>
      </c>
      <c r="H101" s="354" t="s">
        <v>690</v>
      </c>
      <c r="I101" s="343"/>
    </row>
    <row r="102" spans="1:9" s="345" customFormat="1" ht="15">
      <c r="A102" s="339"/>
      <c r="B102" s="371" t="s">
        <v>703</v>
      </c>
      <c r="C102" s="351">
        <v>14.4009</v>
      </c>
      <c r="D102" s="344" t="s">
        <v>688</v>
      </c>
      <c r="E102" s="352" t="s">
        <v>493</v>
      </c>
      <c r="F102" s="352"/>
      <c r="G102" s="352"/>
      <c r="H102" s="352"/>
      <c r="I102" s="343"/>
    </row>
    <row r="103" spans="1:9" s="345" customFormat="1" ht="30">
      <c r="A103" s="339"/>
      <c r="B103" s="371" t="s">
        <v>704</v>
      </c>
      <c r="C103" s="351">
        <v>8.9024</v>
      </c>
      <c r="D103" s="344" t="s">
        <v>688</v>
      </c>
      <c r="E103" s="352" t="s">
        <v>293</v>
      </c>
      <c r="F103" s="352">
        <v>10.4</v>
      </c>
      <c r="G103" s="353" t="s">
        <v>693</v>
      </c>
      <c r="H103" s="354" t="s">
        <v>690</v>
      </c>
      <c r="I103" s="343"/>
    </row>
    <row r="104" spans="1:9" s="345" customFormat="1" ht="15">
      <c r="A104" s="339"/>
      <c r="B104" s="371" t="s">
        <v>705</v>
      </c>
      <c r="C104" s="351">
        <v>9.278640000000001</v>
      </c>
      <c r="D104" s="344" t="s">
        <v>688</v>
      </c>
      <c r="E104" s="352" t="s">
        <v>285</v>
      </c>
      <c r="F104" s="352">
        <v>10.1171</v>
      </c>
      <c r="G104" s="353" t="s">
        <v>689</v>
      </c>
      <c r="H104" s="354" t="s">
        <v>690</v>
      </c>
      <c r="I104" s="343"/>
    </row>
    <row r="105" spans="1:9" s="345" customFormat="1" ht="15">
      <c r="A105" s="339"/>
      <c r="B105" s="371" t="s">
        <v>706</v>
      </c>
      <c r="C105" s="351">
        <v>7.431839999999999</v>
      </c>
      <c r="D105" s="344" t="s">
        <v>688</v>
      </c>
      <c r="E105" s="352" t="s">
        <v>285</v>
      </c>
      <c r="F105" s="352">
        <v>10.1417</v>
      </c>
      <c r="G105" s="353" t="s">
        <v>689</v>
      </c>
      <c r="H105" s="354" t="s">
        <v>690</v>
      </c>
      <c r="I105" s="343"/>
    </row>
    <row r="106" spans="1:9" s="345" customFormat="1" ht="15">
      <c r="A106" s="339"/>
      <c r="B106" s="371" t="s">
        <v>707</v>
      </c>
      <c r="C106" s="351">
        <v>15.67548</v>
      </c>
      <c r="D106" s="344" t="s">
        <v>688</v>
      </c>
      <c r="E106" s="352" t="s">
        <v>285</v>
      </c>
      <c r="F106" s="352">
        <v>10.2</v>
      </c>
      <c r="G106" s="353" t="s">
        <v>689</v>
      </c>
      <c r="H106" s="354" t="s">
        <v>690</v>
      </c>
      <c r="I106" s="343"/>
    </row>
    <row r="107" spans="1:9" s="345" customFormat="1" ht="15">
      <c r="A107" s="339"/>
      <c r="B107" s="372" t="s">
        <v>708</v>
      </c>
      <c r="C107" s="351">
        <v>13.252519999999999</v>
      </c>
      <c r="D107" s="344" t="s">
        <v>688</v>
      </c>
      <c r="E107" s="352" t="s">
        <v>286</v>
      </c>
      <c r="F107" s="352">
        <v>10.4</v>
      </c>
      <c r="G107" s="353" t="s">
        <v>689</v>
      </c>
      <c r="H107" s="354" t="s">
        <v>709</v>
      </c>
      <c r="I107" s="343"/>
    </row>
    <row r="108" spans="1:9" s="345" customFormat="1" ht="15">
      <c r="A108" s="339"/>
      <c r="B108" s="371" t="s">
        <v>711</v>
      </c>
      <c r="C108" s="351">
        <v>33.30639</v>
      </c>
      <c r="D108" s="344" t="s">
        <v>688</v>
      </c>
      <c r="E108" s="352" t="s">
        <v>493</v>
      </c>
      <c r="F108" s="352"/>
      <c r="G108" s="352"/>
      <c r="H108" s="352"/>
      <c r="I108" s="343"/>
    </row>
    <row r="109" spans="1:9" s="345" customFormat="1" ht="15">
      <c r="A109" s="339"/>
      <c r="B109" s="373" t="s">
        <v>712</v>
      </c>
      <c r="C109" s="351">
        <v>8.09019</v>
      </c>
      <c r="D109" s="344" t="s">
        <v>688</v>
      </c>
      <c r="E109" s="352" t="s">
        <v>493</v>
      </c>
      <c r="F109" s="352"/>
      <c r="G109" s="352"/>
      <c r="H109" s="352"/>
      <c r="I109" s="343"/>
    </row>
    <row r="110" spans="1:9" s="345" customFormat="1" ht="45">
      <c r="A110" s="339"/>
      <c r="B110" s="372" t="s">
        <v>713</v>
      </c>
      <c r="C110" s="351">
        <v>183.12318</v>
      </c>
      <c r="D110" s="344" t="s">
        <v>688</v>
      </c>
      <c r="E110" s="352" t="s">
        <v>494</v>
      </c>
      <c r="F110" s="352"/>
      <c r="G110" s="352"/>
      <c r="H110" s="352"/>
      <c r="I110" s="343"/>
    </row>
    <row r="111" spans="1:9" s="345" customFormat="1" ht="15">
      <c r="A111" s="339"/>
      <c r="B111" s="371" t="s">
        <v>714</v>
      </c>
      <c r="C111" s="351">
        <v>8.64</v>
      </c>
      <c r="D111" s="344" t="s">
        <v>688</v>
      </c>
      <c r="E111" s="352" t="s">
        <v>494</v>
      </c>
      <c r="F111" s="352"/>
      <c r="G111" s="352"/>
      <c r="H111" s="352"/>
      <c r="I111" s="343"/>
    </row>
    <row r="112" spans="1:9" s="345" customFormat="1" ht="15">
      <c r="A112" s="339"/>
      <c r="B112" s="371" t="s">
        <v>715</v>
      </c>
      <c r="C112" s="351">
        <v>12.49902</v>
      </c>
      <c r="D112" s="344" t="s">
        <v>688</v>
      </c>
      <c r="E112" s="352" t="s">
        <v>285</v>
      </c>
      <c r="F112" s="352">
        <v>10.2</v>
      </c>
      <c r="G112" s="353" t="s">
        <v>689</v>
      </c>
      <c r="H112" s="354" t="s">
        <v>690</v>
      </c>
      <c r="I112" s="343"/>
    </row>
    <row r="113" spans="1:9" s="345" customFormat="1" ht="15">
      <c r="A113" s="339"/>
      <c r="B113" s="371" t="s">
        <v>741</v>
      </c>
      <c r="C113" s="351">
        <v>14.011020000000004</v>
      </c>
      <c r="D113" s="344" t="s">
        <v>688</v>
      </c>
      <c r="E113" s="341" t="s">
        <v>285</v>
      </c>
      <c r="F113" s="352">
        <v>10.5</v>
      </c>
      <c r="G113" s="353" t="s">
        <v>689</v>
      </c>
      <c r="H113" s="354" t="s">
        <v>690</v>
      </c>
      <c r="I113" s="343"/>
    </row>
    <row r="114" spans="1:9" s="345" customFormat="1" ht="15">
      <c r="A114" s="339"/>
      <c r="B114" s="372" t="s">
        <v>716</v>
      </c>
      <c r="C114" s="351">
        <v>7.428960000000001</v>
      </c>
      <c r="D114" s="344" t="s">
        <v>688</v>
      </c>
      <c r="E114" s="352" t="s">
        <v>493</v>
      </c>
      <c r="F114" s="352"/>
      <c r="G114" s="352"/>
      <c r="H114" s="352"/>
      <c r="I114" s="343"/>
    </row>
    <row r="115" spans="1:9" s="345" customFormat="1" ht="15">
      <c r="A115" s="339"/>
      <c r="B115" s="371" t="s">
        <v>717</v>
      </c>
      <c r="C115" s="351">
        <v>16.48188</v>
      </c>
      <c r="D115" s="344" t="s">
        <v>688</v>
      </c>
      <c r="E115" s="352" t="s">
        <v>493</v>
      </c>
      <c r="F115" s="352"/>
      <c r="G115" s="352"/>
      <c r="H115" s="352"/>
      <c r="I115" s="343"/>
    </row>
    <row r="116" spans="1:9" s="345" customFormat="1" ht="15">
      <c r="A116" s="339"/>
      <c r="B116" s="371" t="s">
        <v>742</v>
      </c>
      <c r="C116" s="351">
        <v>22.85856</v>
      </c>
      <c r="D116" s="344" t="s">
        <v>688</v>
      </c>
      <c r="E116" s="341" t="s">
        <v>493</v>
      </c>
      <c r="F116" s="352"/>
      <c r="G116" s="341"/>
      <c r="H116" s="341"/>
      <c r="I116" s="343"/>
    </row>
    <row r="117" spans="1:9" s="345" customFormat="1" ht="15">
      <c r="A117" s="339"/>
      <c r="B117" s="371" t="s">
        <v>743</v>
      </c>
      <c r="C117" s="351">
        <v>17.214299999999998</v>
      </c>
      <c r="D117" s="344" t="s">
        <v>688</v>
      </c>
      <c r="E117" s="352" t="s">
        <v>493</v>
      </c>
      <c r="F117" s="341"/>
      <c r="G117" s="352"/>
      <c r="H117" s="352"/>
      <c r="I117" s="343"/>
    </row>
    <row r="118" spans="1:9" s="345" customFormat="1" ht="30">
      <c r="A118" s="339"/>
      <c r="B118" s="371" t="s">
        <v>744</v>
      </c>
      <c r="C118" s="351">
        <v>6.914159999999998</v>
      </c>
      <c r="D118" s="344" t="s">
        <v>688</v>
      </c>
      <c r="E118" s="352" t="s">
        <v>745</v>
      </c>
      <c r="F118" s="352"/>
      <c r="G118" s="352"/>
      <c r="H118" s="352"/>
      <c r="I118" s="343"/>
    </row>
    <row r="119" spans="1:9" s="345" customFormat="1" ht="15">
      <c r="A119" s="339"/>
      <c r="B119" s="371" t="s">
        <v>746</v>
      </c>
      <c r="C119" s="351">
        <v>21.457926</v>
      </c>
      <c r="D119" s="344" t="s">
        <v>688</v>
      </c>
      <c r="E119" s="352" t="s">
        <v>493</v>
      </c>
      <c r="F119" s="352"/>
      <c r="G119" s="352"/>
      <c r="H119" s="352"/>
      <c r="I119" s="343"/>
    </row>
    <row r="120" spans="1:9" s="345" customFormat="1" ht="15">
      <c r="A120" s="339"/>
      <c r="B120" s="371" t="s">
        <v>747</v>
      </c>
      <c r="C120" s="351">
        <v>24.6375</v>
      </c>
      <c r="D120" s="344" t="s">
        <v>688</v>
      </c>
      <c r="E120" s="352" t="s">
        <v>493</v>
      </c>
      <c r="F120" s="352"/>
      <c r="G120" s="352"/>
      <c r="H120" s="352"/>
      <c r="I120" s="343"/>
    </row>
    <row r="121" spans="1:9" s="345" customFormat="1" ht="15">
      <c r="A121" s="339"/>
      <c r="B121" s="371" t="s">
        <v>748</v>
      </c>
      <c r="C121" s="351">
        <v>11.05812</v>
      </c>
      <c r="D121" s="344" t="s">
        <v>688</v>
      </c>
      <c r="E121" s="352" t="s">
        <v>493</v>
      </c>
      <c r="F121" s="352"/>
      <c r="G121" s="352"/>
      <c r="H121" s="352"/>
      <c r="I121" s="343"/>
    </row>
    <row r="122" spans="1:9" s="345" customFormat="1" ht="15">
      <c r="A122" s="339"/>
      <c r="B122" s="371" t="s">
        <v>749</v>
      </c>
      <c r="C122" s="351">
        <v>13.74543</v>
      </c>
      <c r="D122" s="344" t="s">
        <v>688</v>
      </c>
      <c r="E122" s="352" t="s">
        <v>493</v>
      </c>
      <c r="F122" s="352"/>
      <c r="G122" s="352"/>
      <c r="H122" s="352"/>
      <c r="I122" s="343"/>
    </row>
    <row r="123" spans="1:9" s="345" customFormat="1" ht="15">
      <c r="A123" s="339"/>
      <c r="B123" s="371" t="s">
        <v>750</v>
      </c>
      <c r="C123" s="351">
        <v>19.89954</v>
      </c>
      <c r="D123" s="344" t="s">
        <v>688</v>
      </c>
      <c r="E123" s="352" t="s">
        <v>493</v>
      </c>
      <c r="F123" s="352"/>
      <c r="G123" s="352"/>
      <c r="H123" s="352"/>
      <c r="I123" s="343"/>
    </row>
    <row r="124" spans="1:9" s="345" customFormat="1" ht="15">
      <c r="A124" s="339"/>
      <c r="B124" s="371" t="s">
        <v>751</v>
      </c>
      <c r="C124" s="351">
        <v>12.613050000000001</v>
      </c>
      <c r="D124" s="344" t="s">
        <v>688</v>
      </c>
      <c r="E124" s="352" t="s">
        <v>493</v>
      </c>
      <c r="F124" s="352"/>
      <c r="G124" s="352"/>
      <c r="H124" s="352"/>
      <c r="I124" s="343"/>
    </row>
    <row r="125" spans="1:9" s="345" customFormat="1" ht="15">
      <c r="A125" s="339"/>
      <c r="B125" s="371" t="s">
        <v>752</v>
      </c>
      <c r="C125" s="351">
        <v>26.119367999999998</v>
      </c>
      <c r="D125" s="344" t="s">
        <v>688</v>
      </c>
      <c r="E125" s="352" t="s">
        <v>285</v>
      </c>
      <c r="F125" s="352">
        <v>10.1294</v>
      </c>
      <c r="G125" s="353" t="s">
        <v>689</v>
      </c>
      <c r="H125" s="354" t="s">
        <v>690</v>
      </c>
      <c r="I125" s="343"/>
    </row>
    <row r="126" spans="1:9" s="345" customFormat="1" ht="15">
      <c r="A126" s="339"/>
      <c r="B126" s="371" t="s">
        <v>753</v>
      </c>
      <c r="C126" s="351">
        <v>21.778416000000004</v>
      </c>
      <c r="D126" s="344" t="s">
        <v>688</v>
      </c>
      <c r="E126" s="352" t="s">
        <v>285</v>
      </c>
      <c r="F126" s="352">
        <v>10.5</v>
      </c>
      <c r="G126" s="353" t="s">
        <v>689</v>
      </c>
      <c r="H126" s="354" t="s">
        <v>690</v>
      </c>
      <c r="I126" s="343"/>
    </row>
    <row r="127" spans="1:9" s="345" customFormat="1" ht="15">
      <c r="A127" s="339"/>
      <c r="B127" s="371" t="s">
        <v>698</v>
      </c>
      <c r="C127" s="351">
        <v>13.12668</v>
      </c>
      <c r="D127" s="344" t="s">
        <v>688</v>
      </c>
      <c r="E127" s="352" t="s">
        <v>285</v>
      </c>
      <c r="F127" s="352">
        <v>9.8</v>
      </c>
      <c r="G127" s="353" t="s">
        <v>689</v>
      </c>
      <c r="H127" s="354" t="s">
        <v>690</v>
      </c>
      <c r="I127" s="343"/>
    </row>
    <row r="128" spans="1:9" s="345" customFormat="1" ht="15">
      <c r="A128" s="339"/>
      <c r="B128" s="371" t="s">
        <v>754</v>
      </c>
      <c r="C128" s="351">
        <v>59.10291</v>
      </c>
      <c r="D128" s="344" t="s">
        <v>688</v>
      </c>
      <c r="E128" s="352" t="s">
        <v>285</v>
      </c>
      <c r="F128" s="352">
        <v>9.8</v>
      </c>
      <c r="G128" s="353" t="s">
        <v>689</v>
      </c>
      <c r="H128" s="354" t="s">
        <v>690</v>
      </c>
      <c r="I128" s="343"/>
    </row>
    <row r="129" spans="1:9" s="345" customFormat="1" ht="15">
      <c r="A129" s="339"/>
      <c r="B129" s="372" t="s">
        <v>755</v>
      </c>
      <c r="C129" s="351">
        <v>7.4752</v>
      </c>
      <c r="D129" s="344" t="s">
        <v>688</v>
      </c>
      <c r="E129" s="341" t="s">
        <v>306</v>
      </c>
      <c r="F129" s="352">
        <v>10.75</v>
      </c>
      <c r="G129" s="353" t="s">
        <v>689</v>
      </c>
      <c r="H129" s="354" t="s">
        <v>756</v>
      </c>
      <c r="I129" s="343"/>
    </row>
    <row r="130" spans="1:9" s="345" customFormat="1" ht="30">
      <c r="A130" s="339" t="s">
        <v>722</v>
      </c>
      <c r="B130" s="340" t="s">
        <v>757</v>
      </c>
      <c r="C130" s="341">
        <v>3.1617</v>
      </c>
      <c r="D130" s="340" t="s">
        <v>724</v>
      </c>
      <c r="E130" s="346" t="s">
        <v>285</v>
      </c>
      <c r="F130" s="346">
        <v>10.75</v>
      </c>
      <c r="G130" s="346" t="s">
        <v>725</v>
      </c>
      <c r="H130" s="346" t="s">
        <v>726</v>
      </c>
      <c r="I130" s="343"/>
    </row>
    <row r="131" spans="1:9" s="345" customFormat="1" ht="15">
      <c r="A131" s="339"/>
      <c r="B131" s="340" t="s">
        <v>758</v>
      </c>
      <c r="C131" s="341">
        <v>1.584</v>
      </c>
      <c r="D131" s="340" t="s">
        <v>724</v>
      </c>
      <c r="E131" s="346" t="s">
        <v>285</v>
      </c>
      <c r="F131" s="346">
        <v>10.75</v>
      </c>
      <c r="G131" s="346" t="s">
        <v>725</v>
      </c>
      <c r="H131" s="346" t="s">
        <v>726</v>
      </c>
      <c r="I131" s="343"/>
    </row>
    <row r="132" spans="1:9" s="345" customFormat="1" ht="30">
      <c r="A132" s="339"/>
      <c r="B132" s="340" t="s">
        <v>759</v>
      </c>
      <c r="C132" s="341">
        <v>6.291</v>
      </c>
      <c r="D132" s="340" t="s">
        <v>724</v>
      </c>
      <c r="E132" s="346" t="s">
        <v>285</v>
      </c>
      <c r="F132" s="346">
        <v>10.75</v>
      </c>
      <c r="G132" s="346" t="s">
        <v>725</v>
      </c>
      <c r="H132" s="346" t="s">
        <v>726</v>
      </c>
      <c r="I132" s="343"/>
    </row>
    <row r="133" spans="1:9" s="345" customFormat="1" ht="30">
      <c r="A133" s="339"/>
      <c r="B133" s="340" t="s">
        <v>760</v>
      </c>
      <c r="C133" s="341">
        <v>4.275</v>
      </c>
      <c r="D133" s="340" t="s">
        <v>724</v>
      </c>
      <c r="E133" s="346" t="s">
        <v>285</v>
      </c>
      <c r="F133" s="346">
        <v>10.75</v>
      </c>
      <c r="G133" s="346" t="s">
        <v>725</v>
      </c>
      <c r="H133" s="346" t="s">
        <v>726</v>
      </c>
      <c r="I133" s="343"/>
    </row>
    <row r="134" spans="1:9" s="345" customFormat="1" ht="30">
      <c r="A134" s="339"/>
      <c r="B134" s="340" t="s">
        <v>761</v>
      </c>
      <c r="C134" s="341">
        <v>0.9990000000000001</v>
      </c>
      <c r="D134" s="340" t="s">
        <v>724</v>
      </c>
      <c r="E134" s="346" t="s">
        <v>285</v>
      </c>
      <c r="F134" s="346">
        <v>10.75</v>
      </c>
      <c r="G134" s="346" t="s">
        <v>725</v>
      </c>
      <c r="H134" s="346" t="s">
        <v>726</v>
      </c>
      <c r="I134" s="343"/>
    </row>
    <row r="135" spans="1:9" s="345" customFormat="1" ht="15">
      <c r="A135" s="339"/>
      <c r="B135" s="340" t="s">
        <v>762</v>
      </c>
      <c r="C135" s="341">
        <v>1.836</v>
      </c>
      <c r="D135" s="340" t="s">
        <v>724</v>
      </c>
      <c r="E135" s="346" t="s">
        <v>285</v>
      </c>
      <c r="F135" s="346">
        <v>10.75</v>
      </c>
      <c r="G135" s="346" t="s">
        <v>725</v>
      </c>
      <c r="H135" s="346" t="s">
        <v>726</v>
      </c>
      <c r="I135" s="343"/>
    </row>
    <row r="136" spans="1:9" s="345" customFormat="1" ht="30">
      <c r="A136" s="339"/>
      <c r="B136" s="340" t="s">
        <v>763</v>
      </c>
      <c r="C136" s="341">
        <v>0.747</v>
      </c>
      <c r="D136" s="340" t="s">
        <v>724</v>
      </c>
      <c r="E136" s="346" t="s">
        <v>285</v>
      </c>
      <c r="F136" s="346">
        <v>10.75</v>
      </c>
      <c r="G136" s="346" t="s">
        <v>725</v>
      </c>
      <c r="H136" s="346" t="s">
        <v>726</v>
      </c>
      <c r="I136" s="343"/>
    </row>
    <row r="137" spans="1:9" s="345" customFormat="1" ht="30">
      <c r="A137" s="339"/>
      <c r="B137" s="340" t="s">
        <v>764</v>
      </c>
      <c r="C137" s="341">
        <v>2.286</v>
      </c>
      <c r="D137" s="340" t="s">
        <v>724</v>
      </c>
      <c r="E137" s="346" t="s">
        <v>285</v>
      </c>
      <c r="F137" s="346">
        <v>10.75</v>
      </c>
      <c r="G137" s="346" t="s">
        <v>725</v>
      </c>
      <c r="H137" s="346" t="s">
        <v>726</v>
      </c>
      <c r="I137" s="343"/>
    </row>
    <row r="138" spans="1:9" s="345" customFormat="1" ht="30">
      <c r="A138" s="339"/>
      <c r="B138" s="340" t="s">
        <v>765</v>
      </c>
      <c r="C138" s="341">
        <v>0.459</v>
      </c>
      <c r="D138" s="340" t="s">
        <v>724</v>
      </c>
      <c r="E138" s="346" t="s">
        <v>285</v>
      </c>
      <c r="F138" s="346">
        <v>10.75</v>
      </c>
      <c r="G138" s="346" t="s">
        <v>725</v>
      </c>
      <c r="H138" s="346" t="s">
        <v>726</v>
      </c>
      <c r="I138" s="343"/>
    </row>
    <row r="139" spans="1:9" s="345" customFormat="1" ht="30">
      <c r="A139" s="339"/>
      <c r="B139" s="340" t="s">
        <v>766</v>
      </c>
      <c r="C139" s="341">
        <v>2.8890000000000002</v>
      </c>
      <c r="D139" s="340" t="s">
        <v>724</v>
      </c>
      <c r="E139" s="346" t="s">
        <v>285</v>
      </c>
      <c r="F139" s="346">
        <v>10.75</v>
      </c>
      <c r="G139" s="346" t="s">
        <v>725</v>
      </c>
      <c r="H139" s="346" t="s">
        <v>726</v>
      </c>
      <c r="I139" s="343"/>
    </row>
    <row r="140" spans="1:9" s="345" customFormat="1" ht="15">
      <c r="A140" s="339"/>
      <c r="B140" s="340" t="s">
        <v>767</v>
      </c>
      <c r="C140" s="341">
        <v>1.089</v>
      </c>
      <c r="D140" s="340" t="s">
        <v>724</v>
      </c>
      <c r="E140" s="346" t="s">
        <v>285</v>
      </c>
      <c r="F140" s="346">
        <v>10.75</v>
      </c>
      <c r="G140" s="346" t="s">
        <v>725</v>
      </c>
      <c r="H140" s="346" t="s">
        <v>726</v>
      </c>
      <c r="I140" s="343"/>
    </row>
    <row r="141" spans="1:9" s="345" customFormat="1" ht="15">
      <c r="A141" s="339"/>
      <c r="B141" s="340" t="s">
        <v>768</v>
      </c>
      <c r="C141" s="341">
        <v>0.30600000000000005</v>
      </c>
      <c r="D141" s="340" t="s">
        <v>724</v>
      </c>
      <c r="E141" s="346" t="s">
        <v>285</v>
      </c>
      <c r="F141" s="346">
        <v>10.75</v>
      </c>
      <c r="G141" s="346" t="s">
        <v>725</v>
      </c>
      <c r="H141" s="346" t="s">
        <v>726</v>
      </c>
      <c r="I141" s="343"/>
    </row>
    <row r="142" spans="1:9" s="345" customFormat="1" ht="15">
      <c r="A142" s="339"/>
      <c r="B142" s="340" t="s">
        <v>769</v>
      </c>
      <c r="C142" s="341">
        <v>0.6120000000000001</v>
      </c>
      <c r="D142" s="340" t="s">
        <v>724</v>
      </c>
      <c r="E142" s="346" t="s">
        <v>285</v>
      </c>
      <c r="F142" s="346">
        <v>10.75</v>
      </c>
      <c r="G142" s="346" t="s">
        <v>725</v>
      </c>
      <c r="H142" s="346" t="s">
        <v>726</v>
      </c>
      <c r="I142" s="343"/>
    </row>
    <row r="143" spans="1:9" s="345" customFormat="1" ht="15">
      <c r="A143" s="339"/>
      <c r="B143" s="340" t="s">
        <v>770</v>
      </c>
      <c r="C143" s="341">
        <v>0.49500000000000005</v>
      </c>
      <c r="D143" s="340" t="s">
        <v>724</v>
      </c>
      <c r="E143" s="346" t="s">
        <v>285</v>
      </c>
      <c r="F143" s="346">
        <v>10.75</v>
      </c>
      <c r="G143" s="346" t="s">
        <v>725</v>
      </c>
      <c r="H143" s="346" t="s">
        <v>726</v>
      </c>
      <c r="I143" s="343"/>
    </row>
    <row r="144" spans="1:9" s="345" customFormat="1" ht="15">
      <c r="A144" s="339"/>
      <c r="B144" s="340" t="s">
        <v>771</v>
      </c>
      <c r="C144" s="341">
        <v>1.35</v>
      </c>
      <c r="D144" s="340" t="s">
        <v>724</v>
      </c>
      <c r="E144" s="346" t="s">
        <v>285</v>
      </c>
      <c r="F144" s="346">
        <v>10.75</v>
      </c>
      <c r="G144" s="346" t="s">
        <v>725</v>
      </c>
      <c r="H144" s="346" t="s">
        <v>726</v>
      </c>
      <c r="I144" s="343"/>
    </row>
    <row r="145" spans="1:9" s="345" customFormat="1" ht="15">
      <c r="A145" s="339"/>
      <c r="B145" s="340" t="s">
        <v>772</v>
      </c>
      <c r="C145" s="341">
        <v>1.08</v>
      </c>
      <c r="D145" s="340" t="s">
        <v>724</v>
      </c>
      <c r="E145" s="346" t="s">
        <v>285</v>
      </c>
      <c r="F145" s="346">
        <v>10.75</v>
      </c>
      <c r="G145" s="346" t="s">
        <v>725</v>
      </c>
      <c r="H145" s="346" t="s">
        <v>726</v>
      </c>
      <c r="I145" s="343"/>
    </row>
    <row r="146" spans="1:9" s="345" customFormat="1" ht="45">
      <c r="A146" s="339"/>
      <c r="B146" s="340" t="s">
        <v>773</v>
      </c>
      <c r="C146" s="341">
        <v>1.1700000000000002</v>
      </c>
      <c r="D146" s="340" t="s">
        <v>724</v>
      </c>
      <c r="E146" s="346" t="s">
        <v>285</v>
      </c>
      <c r="F146" s="346">
        <v>10.75</v>
      </c>
      <c r="G146" s="346" t="s">
        <v>725</v>
      </c>
      <c r="H146" s="346" t="s">
        <v>726</v>
      </c>
      <c r="I146" s="343"/>
    </row>
    <row r="147" spans="1:9" s="345" customFormat="1" ht="30">
      <c r="A147" s="339"/>
      <c r="B147" s="340" t="s">
        <v>774</v>
      </c>
      <c r="C147" s="341">
        <v>1.773</v>
      </c>
      <c r="D147" s="340" t="s">
        <v>724</v>
      </c>
      <c r="E147" s="346" t="s">
        <v>285</v>
      </c>
      <c r="F147" s="346">
        <v>10.75</v>
      </c>
      <c r="G147" s="346" t="s">
        <v>725</v>
      </c>
      <c r="H147" s="346" t="s">
        <v>726</v>
      </c>
      <c r="I147" s="343"/>
    </row>
    <row r="148" spans="1:9" s="345" customFormat="1" ht="15">
      <c r="A148" s="339"/>
      <c r="B148" s="355" t="s">
        <v>775</v>
      </c>
      <c r="C148" s="341">
        <v>31.5</v>
      </c>
      <c r="D148" s="355" t="s">
        <v>688</v>
      </c>
      <c r="E148" s="343" t="s">
        <v>285</v>
      </c>
      <c r="F148" s="346">
        <v>10.75</v>
      </c>
      <c r="G148" s="346" t="s">
        <v>725</v>
      </c>
      <c r="H148" s="346" t="s">
        <v>726</v>
      </c>
      <c r="I148" s="343"/>
    </row>
    <row r="149" spans="1:9" s="345" customFormat="1" ht="15">
      <c r="A149" s="339"/>
      <c r="B149" s="357" t="s">
        <v>102</v>
      </c>
      <c r="C149" s="358">
        <f>SUM(C75:C148)</f>
        <v>1252.6829400000004</v>
      </c>
      <c r="D149" s="359"/>
      <c r="E149" s="359"/>
      <c r="F149" s="359"/>
      <c r="G149" s="359"/>
      <c r="H149" s="359"/>
      <c r="I149" s="359"/>
    </row>
    <row r="150" spans="1:9" s="345" customFormat="1" ht="15">
      <c r="A150" s="339"/>
      <c r="B150" s="361"/>
      <c r="C150" s="362"/>
      <c r="D150" s="361"/>
      <c r="E150" s="361"/>
      <c r="F150" s="361"/>
      <c r="G150" s="361"/>
      <c r="H150" s="361"/>
      <c r="I150" s="361"/>
    </row>
    <row r="151" spans="1:9" s="345" customFormat="1" ht="15">
      <c r="A151" s="339"/>
      <c r="B151" s="361"/>
      <c r="C151" s="362"/>
      <c r="D151" s="361"/>
      <c r="E151" s="361"/>
      <c r="F151" s="361"/>
      <c r="G151" s="361"/>
      <c r="H151" s="361"/>
      <c r="I151" s="361"/>
    </row>
    <row r="152" spans="1:9" s="345" customFormat="1" ht="15">
      <c r="A152" s="339"/>
      <c r="B152" s="374" t="s">
        <v>477</v>
      </c>
      <c r="C152" s="375"/>
      <c r="D152" s="361"/>
      <c r="E152" s="376"/>
      <c r="F152" s="361"/>
      <c r="G152" s="377" t="s">
        <v>251</v>
      </c>
      <c r="H152" s="361"/>
      <c r="I152" s="361"/>
    </row>
    <row r="153" spans="1:9" s="378" customFormat="1" ht="42.75">
      <c r="A153" s="339"/>
      <c r="B153" s="335" t="s">
        <v>0</v>
      </c>
      <c r="C153" s="336" t="s">
        <v>204</v>
      </c>
      <c r="D153" s="337" t="s">
        <v>365</v>
      </c>
      <c r="E153" s="337" t="s">
        <v>366</v>
      </c>
      <c r="F153" s="337" t="s">
        <v>367</v>
      </c>
      <c r="G153" s="337" t="s">
        <v>368</v>
      </c>
      <c r="H153" s="338" t="s">
        <v>369</v>
      </c>
      <c r="I153" s="337" t="s">
        <v>107</v>
      </c>
    </row>
    <row r="154" spans="1:9" s="378" customFormat="1" ht="30">
      <c r="A154" s="339" t="s">
        <v>650</v>
      </c>
      <c r="B154" s="340" t="s">
        <v>658</v>
      </c>
      <c r="C154" s="341">
        <v>4.122</v>
      </c>
      <c r="D154" s="342" t="s">
        <v>655</v>
      </c>
      <c r="E154" s="346" t="s">
        <v>285</v>
      </c>
      <c r="F154" s="379"/>
      <c r="G154" s="379"/>
      <c r="H154" s="379"/>
      <c r="I154" s="379"/>
    </row>
    <row r="155" spans="1:9" s="378" customFormat="1" ht="30">
      <c r="A155" s="339"/>
      <c r="B155" s="340" t="s">
        <v>659</v>
      </c>
      <c r="C155" s="341">
        <v>3.6990000000000003</v>
      </c>
      <c r="D155" s="342" t="s">
        <v>655</v>
      </c>
      <c r="E155" s="346" t="s">
        <v>285</v>
      </c>
      <c r="F155" s="379"/>
      <c r="G155" s="379"/>
      <c r="H155" s="379"/>
      <c r="I155" s="379"/>
    </row>
    <row r="156" spans="1:9" s="378" customFormat="1" ht="15">
      <c r="A156" s="339"/>
      <c r="B156" s="340" t="s">
        <v>666</v>
      </c>
      <c r="C156" s="341">
        <v>9</v>
      </c>
      <c r="D156" s="342" t="s">
        <v>663</v>
      </c>
      <c r="E156" s="346" t="s">
        <v>285</v>
      </c>
      <c r="F156" s="379"/>
      <c r="G156" s="379"/>
      <c r="H156" s="379"/>
      <c r="I156" s="379"/>
    </row>
    <row r="157" spans="1:9" s="378" customFormat="1" ht="15">
      <c r="A157" s="339"/>
      <c r="B157" s="340" t="s">
        <v>668</v>
      </c>
      <c r="C157" s="341">
        <v>90</v>
      </c>
      <c r="D157" s="342" t="s">
        <v>652</v>
      </c>
      <c r="E157" s="341" t="s">
        <v>669</v>
      </c>
      <c r="F157" s="379"/>
      <c r="G157" s="379"/>
      <c r="H157" s="379"/>
      <c r="I157" s="379"/>
    </row>
    <row r="158" spans="1:9" s="378" customFormat="1" ht="30">
      <c r="A158" s="339"/>
      <c r="B158" s="340" t="s">
        <v>670</v>
      </c>
      <c r="C158" s="341">
        <v>27.900000000000002</v>
      </c>
      <c r="D158" s="342" t="s">
        <v>652</v>
      </c>
      <c r="E158" s="346" t="s">
        <v>285</v>
      </c>
      <c r="F158" s="379"/>
      <c r="G158" s="379"/>
      <c r="H158" s="379"/>
      <c r="I158" s="379"/>
    </row>
    <row r="159" spans="1:9" s="378" customFormat="1" ht="30">
      <c r="A159" s="339"/>
      <c r="B159" s="340" t="s">
        <v>672</v>
      </c>
      <c r="C159" s="341">
        <v>29.75</v>
      </c>
      <c r="D159" s="342" t="s">
        <v>663</v>
      </c>
      <c r="E159" s="341" t="s">
        <v>286</v>
      </c>
      <c r="F159" s="379"/>
      <c r="G159" s="379"/>
      <c r="H159" s="379"/>
      <c r="I159" s="379"/>
    </row>
    <row r="160" spans="1:9" s="378" customFormat="1" ht="15">
      <c r="A160" s="339"/>
      <c r="B160" s="340" t="s">
        <v>734</v>
      </c>
      <c r="C160" s="341"/>
      <c r="D160" s="342" t="s">
        <v>652</v>
      </c>
      <c r="E160" s="346" t="s">
        <v>285</v>
      </c>
      <c r="F160" s="379"/>
      <c r="G160" s="379"/>
      <c r="H160" s="379"/>
      <c r="I160" s="379"/>
    </row>
    <row r="161" spans="1:9" s="378" customFormat="1" ht="30">
      <c r="A161" s="339"/>
      <c r="B161" s="350" t="s">
        <v>675</v>
      </c>
      <c r="C161" s="341">
        <v>63</v>
      </c>
      <c r="D161" s="342" t="s">
        <v>652</v>
      </c>
      <c r="E161" s="349" t="s">
        <v>678</v>
      </c>
      <c r="F161" s="379"/>
      <c r="G161" s="379"/>
      <c r="H161" s="379"/>
      <c r="I161" s="379"/>
    </row>
    <row r="162" spans="1:9" s="378" customFormat="1" ht="30">
      <c r="A162" s="339"/>
      <c r="B162" s="340" t="s">
        <v>676</v>
      </c>
      <c r="C162" s="341">
        <v>64.8</v>
      </c>
      <c r="D162" s="342" t="s">
        <v>663</v>
      </c>
      <c r="E162" s="341" t="s">
        <v>494</v>
      </c>
      <c r="F162" s="379"/>
      <c r="G162" s="379"/>
      <c r="H162" s="379"/>
      <c r="I162" s="379"/>
    </row>
    <row r="163" spans="1:9" s="378" customFormat="1" ht="30">
      <c r="A163" s="339"/>
      <c r="B163" s="340" t="s">
        <v>677</v>
      </c>
      <c r="C163" s="341">
        <v>13.5</v>
      </c>
      <c r="D163" s="342" t="s">
        <v>655</v>
      </c>
      <c r="E163" s="349" t="s">
        <v>678</v>
      </c>
      <c r="F163" s="379"/>
      <c r="G163" s="379"/>
      <c r="H163" s="379"/>
      <c r="I163" s="379"/>
    </row>
    <row r="164" spans="1:9" s="378" customFormat="1" ht="30">
      <c r="A164" s="339"/>
      <c r="B164" s="340" t="s">
        <v>679</v>
      </c>
      <c r="C164" s="341">
        <v>59.4</v>
      </c>
      <c r="D164" s="342" t="s">
        <v>663</v>
      </c>
      <c r="E164" s="349" t="s">
        <v>678</v>
      </c>
      <c r="F164" s="379"/>
      <c r="G164" s="379"/>
      <c r="H164" s="379"/>
      <c r="I164" s="379"/>
    </row>
    <row r="165" spans="1:9" s="378" customFormat="1" ht="30">
      <c r="A165" s="339"/>
      <c r="B165" s="340" t="s">
        <v>680</v>
      </c>
      <c r="C165" s="341">
        <v>90</v>
      </c>
      <c r="D165" s="342" t="s">
        <v>663</v>
      </c>
      <c r="E165" s="349" t="s">
        <v>678</v>
      </c>
      <c r="F165" s="379"/>
      <c r="G165" s="379"/>
      <c r="H165" s="379"/>
      <c r="I165" s="379"/>
    </row>
    <row r="166" spans="1:9" s="378" customFormat="1" ht="30">
      <c r="A166" s="339"/>
      <c r="B166" s="340" t="s">
        <v>735</v>
      </c>
      <c r="C166" s="341">
        <v>63.9</v>
      </c>
      <c r="D166" s="342" t="s">
        <v>663</v>
      </c>
      <c r="E166" s="349" t="s">
        <v>678</v>
      </c>
      <c r="F166" s="379"/>
      <c r="G166" s="379"/>
      <c r="H166" s="379"/>
      <c r="I166" s="379"/>
    </row>
    <row r="167" spans="1:9" s="378" customFormat="1" ht="30">
      <c r="A167" s="339"/>
      <c r="B167" s="340" t="s">
        <v>683</v>
      </c>
      <c r="C167" s="341">
        <v>54</v>
      </c>
      <c r="D167" s="342" t="s">
        <v>652</v>
      </c>
      <c r="E167" s="349" t="s">
        <v>678</v>
      </c>
      <c r="F167" s="379"/>
      <c r="G167" s="379"/>
      <c r="H167" s="379"/>
      <c r="I167" s="379"/>
    </row>
    <row r="168" spans="1:9" s="378" customFormat="1" ht="30">
      <c r="A168" s="339"/>
      <c r="B168" s="340" t="s">
        <v>684</v>
      </c>
      <c r="C168" s="341">
        <v>72</v>
      </c>
      <c r="D168" s="342" t="s">
        <v>663</v>
      </c>
      <c r="E168" s="349" t="s">
        <v>678</v>
      </c>
      <c r="F168" s="379"/>
      <c r="G168" s="379"/>
      <c r="H168" s="379"/>
      <c r="I168" s="379"/>
    </row>
    <row r="169" spans="1:9" s="378" customFormat="1" ht="30">
      <c r="A169" s="339"/>
      <c r="B169" s="340" t="s">
        <v>736</v>
      </c>
      <c r="C169" s="341">
        <v>36</v>
      </c>
      <c r="D169" s="342" t="s">
        <v>652</v>
      </c>
      <c r="E169" s="349" t="s">
        <v>678</v>
      </c>
      <c r="F169" s="379"/>
      <c r="G169" s="379"/>
      <c r="H169" s="379"/>
      <c r="I169" s="379"/>
    </row>
    <row r="170" spans="1:9" s="378" customFormat="1" ht="30">
      <c r="A170" s="339"/>
      <c r="B170" s="340" t="s">
        <v>685</v>
      </c>
      <c r="C170" s="341">
        <v>55.782</v>
      </c>
      <c r="D170" s="342" t="s">
        <v>652</v>
      </c>
      <c r="E170" s="349" t="s">
        <v>678</v>
      </c>
      <c r="F170" s="379"/>
      <c r="G170" s="379"/>
      <c r="H170" s="379"/>
      <c r="I170" s="379"/>
    </row>
    <row r="171" spans="1:9" s="378" customFormat="1" ht="30">
      <c r="A171" s="339"/>
      <c r="B171" s="340" t="s">
        <v>737</v>
      </c>
      <c r="C171" s="341">
        <v>31.5</v>
      </c>
      <c r="D171" s="342" t="s">
        <v>655</v>
      </c>
      <c r="E171" s="349" t="s">
        <v>678</v>
      </c>
      <c r="F171" s="379"/>
      <c r="G171" s="379"/>
      <c r="H171" s="379"/>
      <c r="I171" s="379"/>
    </row>
    <row r="172" spans="1:9" s="378" customFormat="1" ht="30">
      <c r="A172" s="339"/>
      <c r="B172" s="350" t="s">
        <v>738</v>
      </c>
      <c r="C172" s="341">
        <v>6.966</v>
      </c>
      <c r="D172" s="342" t="s">
        <v>655</v>
      </c>
      <c r="E172" s="349" t="s">
        <v>678</v>
      </c>
      <c r="F172" s="379"/>
      <c r="G172" s="379"/>
      <c r="H172" s="379"/>
      <c r="I172" s="379"/>
    </row>
    <row r="173" spans="1:9" s="378" customFormat="1" ht="30">
      <c r="A173" s="339"/>
      <c r="B173" s="350" t="s">
        <v>739</v>
      </c>
      <c r="C173" s="341">
        <v>45</v>
      </c>
      <c r="D173" s="342" t="s">
        <v>740</v>
      </c>
      <c r="E173" s="349" t="s">
        <v>678</v>
      </c>
      <c r="F173" s="379"/>
      <c r="G173" s="379"/>
      <c r="H173" s="379"/>
      <c r="I173" s="379"/>
    </row>
    <row r="174" spans="1:9" s="378" customFormat="1" ht="15">
      <c r="A174" s="339" t="s">
        <v>686</v>
      </c>
      <c r="B174" s="380" t="s">
        <v>742</v>
      </c>
      <c r="C174" s="381">
        <v>45.239039999999996</v>
      </c>
      <c r="D174" s="379" t="s">
        <v>688</v>
      </c>
      <c r="E174" s="382" t="s">
        <v>493</v>
      </c>
      <c r="F174" s="383"/>
      <c r="G174" s="384"/>
      <c r="H174" s="384"/>
      <c r="I174" s="379"/>
    </row>
    <row r="175" spans="1:9" s="378" customFormat="1" ht="15">
      <c r="A175" s="339"/>
      <c r="B175" s="380" t="s">
        <v>743</v>
      </c>
      <c r="C175" s="381">
        <v>26.4762</v>
      </c>
      <c r="D175" s="379" t="s">
        <v>688</v>
      </c>
      <c r="E175" s="385" t="s">
        <v>493</v>
      </c>
      <c r="F175" s="382"/>
      <c r="G175" s="383"/>
      <c r="H175" s="383"/>
      <c r="I175" s="379"/>
    </row>
    <row r="176" spans="1:9" s="378" customFormat="1" ht="15">
      <c r="A176" s="339"/>
      <c r="B176" s="386" t="s">
        <v>776</v>
      </c>
      <c r="C176" s="381">
        <v>32.904</v>
      </c>
      <c r="D176" s="379" t="s">
        <v>688</v>
      </c>
      <c r="E176" s="387" t="s">
        <v>285</v>
      </c>
      <c r="F176" s="383">
        <v>10.5</v>
      </c>
      <c r="G176" s="383" t="s">
        <v>689</v>
      </c>
      <c r="H176" s="383" t="s">
        <v>690</v>
      </c>
      <c r="I176" s="379"/>
    </row>
    <row r="177" spans="1:9" s="378" customFormat="1" ht="30">
      <c r="A177" s="339"/>
      <c r="B177" s="380" t="s">
        <v>777</v>
      </c>
      <c r="C177" s="381">
        <v>19.6605</v>
      </c>
      <c r="D177" s="379" t="s">
        <v>688</v>
      </c>
      <c r="E177" s="385" t="s">
        <v>285</v>
      </c>
      <c r="F177" s="385">
        <v>10.2</v>
      </c>
      <c r="G177" s="383" t="s">
        <v>689</v>
      </c>
      <c r="H177" s="383" t="s">
        <v>690</v>
      </c>
      <c r="I177" s="379"/>
    </row>
    <row r="178" spans="1:9" s="378" customFormat="1" ht="15">
      <c r="A178" s="339"/>
      <c r="B178" s="380" t="s">
        <v>778</v>
      </c>
      <c r="C178" s="381">
        <v>30.074445</v>
      </c>
      <c r="D178" s="379" t="s">
        <v>688</v>
      </c>
      <c r="E178" s="385" t="s">
        <v>286</v>
      </c>
      <c r="F178" s="385">
        <v>9.75</v>
      </c>
      <c r="G178" s="383" t="s">
        <v>779</v>
      </c>
      <c r="H178" s="383" t="s">
        <v>756</v>
      </c>
      <c r="I178" s="379"/>
    </row>
    <row r="179" spans="1:9" s="378" customFormat="1" ht="30">
      <c r="A179" s="339"/>
      <c r="B179" s="380" t="s">
        <v>780</v>
      </c>
      <c r="C179" s="381">
        <v>15.511500000000002</v>
      </c>
      <c r="D179" s="379" t="s">
        <v>688</v>
      </c>
      <c r="E179" s="385" t="s">
        <v>285</v>
      </c>
      <c r="F179" s="385">
        <v>10.2</v>
      </c>
      <c r="G179" s="388" t="s">
        <v>689</v>
      </c>
      <c r="H179" s="383" t="s">
        <v>690</v>
      </c>
      <c r="I179" s="379"/>
    </row>
    <row r="180" spans="1:9" s="378" customFormat="1" ht="15">
      <c r="A180" s="339"/>
      <c r="B180" s="389" t="s">
        <v>781</v>
      </c>
      <c r="C180" s="381">
        <v>29.958299999999998</v>
      </c>
      <c r="D180" s="379" t="s">
        <v>688</v>
      </c>
      <c r="E180" s="382" t="s">
        <v>285</v>
      </c>
      <c r="F180" s="383">
        <v>10.2</v>
      </c>
      <c r="G180" s="383" t="s">
        <v>689</v>
      </c>
      <c r="H180" s="383" t="s">
        <v>690</v>
      </c>
      <c r="I180" s="379"/>
    </row>
    <row r="181" spans="1:9" s="378" customFormat="1" ht="15">
      <c r="A181" s="339"/>
      <c r="B181" s="380" t="s">
        <v>782</v>
      </c>
      <c r="C181" s="381">
        <v>10.88271</v>
      </c>
      <c r="D181" s="379" t="s">
        <v>688</v>
      </c>
      <c r="E181" s="382" t="s">
        <v>285</v>
      </c>
      <c r="F181" s="390">
        <v>10.5</v>
      </c>
      <c r="G181" s="383" t="s">
        <v>689</v>
      </c>
      <c r="H181" s="383" t="s">
        <v>690</v>
      </c>
      <c r="I181" s="379"/>
    </row>
    <row r="182" spans="1:9" s="378" customFormat="1" ht="15">
      <c r="A182" s="339"/>
      <c r="B182" s="380" t="s">
        <v>783</v>
      </c>
      <c r="C182" s="381">
        <v>17.924400000000002</v>
      </c>
      <c r="D182" s="379" t="s">
        <v>688</v>
      </c>
      <c r="E182" s="382" t="s">
        <v>285</v>
      </c>
      <c r="F182" s="383">
        <v>10.5</v>
      </c>
      <c r="G182" s="383" t="s">
        <v>689</v>
      </c>
      <c r="H182" s="383" t="s">
        <v>690</v>
      </c>
      <c r="I182" s="379"/>
    </row>
    <row r="183" spans="1:9" s="378" customFormat="1" ht="15">
      <c r="A183" s="339"/>
      <c r="B183" s="380" t="s">
        <v>784</v>
      </c>
      <c r="C183" s="381">
        <v>37.13309999999999</v>
      </c>
      <c r="D183" s="379" t="s">
        <v>688</v>
      </c>
      <c r="E183" s="391" t="s">
        <v>493</v>
      </c>
      <c r="F183" s="383">
        <v>10.5</v>
      </c>
      <c r="G183" s="392"/>
      <c r="H183" s="383" t="s">
        <v>690</v>
      </c>
      <c r="I183" s="379"/>
    </row>
    <row r="184" spans="1:9" s="378" customFormat="1" ht="15">
      <c r="A184" s="339"/>
      <c r="B184" s="380" t="s">
        <v>785</v>
      </c>
      <c r="C184" s="381">
        <v>57.465</v>
      </c>
      <c r="D184" s="379" t="s">
        <v>688</v>
      </c>
      <c r="E184" s="391" t="s">
        <v>493</v>
      </c>
      <c r="F184" s="391"/>
      <c r="G184" s="392"/>
      <c r="H184" s="392"/>
      <c r="I184" s="379"/>
    </row>
    <row r="185" spans="1:9" s="378" customFormat="1" ht="15">
      <c r="A185" s="339"/>
      <c r="B185" s="380" t="s">
        <v>786</v>
      </c>
      <c r="C185" s="381">
        <v>54.86391</v>
      </c>
      <c r="D185" s="379" t="s">
        <v>688</v>
      </c>
      <c r="E185" s="391" t="s">
        <v>493</v>
      </c>
      <c r="F185" s="391"/>
      <c r="G185" s="392"/>
      <c r="H185" s="392"/>
      <c r="I185" s="379"/>
    </row>
    <row r="186" spans="1:9" s="378" customFormat="1" ht="15">
      <c r="A186" s="339"/>
      <c r="B186" s="386" t="s">
        <v>787</v>
      </c>
      <c r="C186" s="381">
        <v>22.901400000000002</v>
      </c>
      <c r="D186" s="379" t="s">
        <v>688</v>
      </c>
      <c r="E186" s="382" t="s">
        <v>285</v>
      </c>
      <c r="F186" s="383">
        <v>10.5</v>
      </c>
      <c r="G186" s="383" t="s">
        <v>689</v>
      </c>
      <c r="H186" s="383" t="s">
        <v>690</v>
      </c>
      <c r="I186" s="379"/>
    </row>
    <row r="187" spans="1:9" s="378" customFormat="1" ht="30">
      <c r="A187" s="339"/>
      <c r="B187" s="393" t="s">
        <v>744</v>
      </c>
      <c r="C187" s="381">
        <v>54.109440000000006</v>
      </c>
      <c r="D187" s="379" t="s">
        <v>688</v>
      </c>
      <c r="E187" s="391" t="s">
        <v>745</v>
      </c>
      <c r="F187" s="391"/>
      <c r="G187" s="392"/>
      <c r="H187" s="392"/>
      <c r="I187" s="379"/>
    </row>
    <row r="188" spans="1:9" s="378" customFormat="1" ht="15">
      <c r="A188" s="339"/>
      <c r="B188" s="393" t="s">
        <v>746</v>
      </c>
      <c r="C188" s="381">
        <v>14.305283999999999</v>
      </c>
      <c r="D188" s="379" t="s">
        <v>688</v>
      </c>
      <c r="E188" s="385" t="s">
        <v>493</v>
      </c>
      <c r="F188" s="385"/>
      <c r="G188" s="383"/>
      <c r="H188" s="383"/>
      <c r="I188" s="379"/>
    </row>
    <row r="189" spans="1:9" s="378" customFormat="1" ht="15">
      <c r="A189" s="339"/>
      <c r="B189" s="393" t="s">
        <v>747</v>
      </c>
      <c r="C189" s="381">
        <v>16.425</v>
      </c>
      <c r="D189" s="379" t="s">
        <v>688</v>
      </c>
      <c r="E189" s="385" t="s">
        <v>493</v>
      </c>
      <c r="F189" s="385"/>
      <c r="G189" s="383"/>
      <c r="H189" s="383"/>
      <c r="I189" s="379"/>
    </row>
    <row r="190" spans="1:9" s="378" customFormat="1" ht="15">
      <c r="A190" s="339"/>
      <c r="B190" s="393" t="s">
        <v>748</v>
      </c>
      <c r="C190" s="381">
        <v>22.90248</v>
      </c>
      <c r="D190" s="379" t="s">
        <v>688</v>
      </c>
      <c r="E190" s="385" t="s">
        <v>493</v>
      </c>
      <c r="F190" s="385"/>
      <c r="G190" s="383"/>
      <c r="H190" s="383"/>
      <c r="I190" s="379"/>
    </row>
    <row r="191" spans="1:9" s="378" customFormat="1" ht="15">
      <c r="A191" s="339"/>
      <c r="B191" s="393" t="s">
        <v>749</v>
      </c>
      <c r="C191" s="381">
        <v>24.16464</v>
      </c>
      <c r="D191" s="379" t="s">
        <v>688</v>
      </c>
      <c r="E191" s="385" t="s">
        <v>493</v>
      </c>
      <c r="F191" s="385"/>
      <c r="G191" s="383"/>
      <c r="H191" s="383"/>
      <c r="I191" s="379"/>
    </row>
    <row r="192" spans="1:9" s="378" customFormat="1" ht="15">
      <c r="A192" s="339"/>
      <c r="B192" s="393" t="s">
        <v>750</v>
      </c>
      <c r="C192" s="381">
        <v>13.266359999999999</v>
      </c>
      <c r="D192" s="379" t="s">
        <v>688</v>
      </c>
      <c r="E192" s="385" t="s">
        <v>493</v>
      </c>
      <c r="F192" s="385"/>
      <c r="G192" s="383"/>
      <c r="H192" s="383"/>
      <c r="I192" s="379"/>
    </row>
    <row r="193" spans="1:9" s="378" customFormat="1" ht="15">
      <c r="A193" s="339"/>
      <c r="B193" s="393" t="s">
        <v>751</v>
      </c>
      <c r="C193" s="381">
        <v>23.4</v>
      </c>
      <c r="D193" s="379" t="s">
        <v>688</v>
      </c>
      <c r="E193" s="385" t="s">
        <v>493</v>
      </c>
      <c r="F193" s="385"/>
      <c r="G193" s="383"/>
      <c r="H193" s="383"/>
      <c r="I193" s="379"/>
    </row>
    <row r="194" spans="1:9" s="378" customFormat="1" ht="15">
      <c r="A194" s="339"/>
      <c r="B194" s="380" t="s">
        <v>752</v>
      </c>
      <c r="C194" s="381">
        <v>17.412912</v>
      </c>
      <c r="D194" s="379" t="s">
        <v>688</v>
      </c>
      <c r="E194" s="385" t="s">
        <v>285</v>
      </c>
      <c r="F194" s="385">
        <v>10.1294</v>
      </c>
      <c r="G194" s="388" t="s">
        <v>689</v>
      </c>
      <c r="H194" s="394" t="s">
        <v>690</v>
      </c>
      <c r="I194" s="379"/>
    </row>
    <row r="195" spans="1:9" s="378" customFormat="1" ht="15">
      <c r="A195" s="339"/>
      <c r="B195" s="393" t="s">
        <v>753</v>
      </c>
      <c r="C195" s="381">
        <v>14.518979999999999</v>
      </c>
      <c r="D195" s="379" t="s">
        <v>688</v>
      </c>
      <c r="E195" s="385" t="s">
        <v>285</v>
      </c>
      <c r="F195" s="385">
        <v>9.8</v>
      </c>
      <c r="G195" s="388" t="s">
        <v>689</v>
      </c>
      <c r="H195" s="394" t="s">
        <v>690</v>
      </c>
      <c r="I195" s="379"/>
    </row>
    <row r="196" spans="1:9" s="378" customFormat="1" ht="15">
      <c r="A196" s="339"/>
      <c r="B196" s="380" t="s">
        <v>788</v>
      </c>
      <c r="C196" s="381">
        <v>139.51564199999999</v>
      </c>
      <c r="D196" s="379" t="s">
        <v>688</v>
      </c>
      <c r="E196" s="387" t="s">
        <v>285</v>
      </c>
      <c r="F196" s="389"/>
      <c r="G196" s="389"/>
      <c r="H196" s="389"/>
      <c r="I196" s="379"/>
    </row>
    <row r="197" spans="1:9" s="378" customFormat="1" ht="15">
      <c r="A197" s="339"/>
      <c r="B197" s="380" t="s">
        <v>789</v>
      </c>
      <c r="C197" s="381">
        <v>61.946549999999995</v>
      </c>
      <c r="D197" s="379" t="s">
        <v>688</v>
      </c>
      <c r="E197" s="382" t="s">
        <v>720</v>
      </c>
      <c r="F197" s="383"/>
      <c r="G197" s="384"/>
      <c r="H197" s="384"/>
      <c r="I197" s="379"/>
    </row>
    <row r="198" spans="1:9" s="378" customFormat="1" ht="15">
      <c r="A198" s="339"/>
      <c r="B198" s="380" t="s">
        <v>790</v>
      </c>
      <c r="C198" s="381">
        <v>24.34068</v>
      </c>
      <c r="D198" s="379" t="s">
        <v>688</v>
      </c>
      <c r="E198" s="382" t="s">
        <v>285</v>
      </c>
      <c r="F198" s="383">
        <v>10.2</v>
      </c>
      <c r="G198" s="388" t="s">
        <v>689</v>
      </c>
      <c r="H198" s="394" t="s">
        <v>690</v>
      </c>
      <c r="I198" s="379"/>
    </row>
    <row r="199" spans="1:9" s="378" customFormat="1" ht="15">
      <c r="A199" s="339"/>
      <c r="B199" s="380" t="s">
        <v>791</v>
      </c>
      <c r="C199" s="381">
        <v>59.566104</v>
      </c>
      <c r="D199" s="379" t="s">
        <v>688</v>
      </c>
      <c r="E199" s="387" t="s">
        <v>285</v>
      </c>
      <c r="F199" s="389"/>
      <c r="G199" s="389"/>
      <c r="H199" s="389"/>
      <c r="I199" s="379"/>
    </row>
    <row r="200" spans="1:9" s="378" customFormat="1" ht="15">
      <c r="A200" s="339"/>
      <c r="B200" s="380" t="s">
        <v>792</v>
      </c>
      <c r="C200" s="381">
        <v>119.56139999999999</v>
      </c>
      <c r="D200" s="379" t="s">
        <v>688</v>
      </c>
      <c r="E200" s="387" t="s">
        <v>285</v>
      </c>
      <c r="F200" s="389"/>
      <c r="G200" s="389"/>
      <c r="H200" s="389"/>
      <c r="I200" s="379"/>
    </row>
    <row r="201" spans="1:9" s="378" customFormat="1" ht="15">
      <c r="A201" s="339"/>
      <c r="B201" s="380" t="s">
        <v>793</v>
      </c>
      <c r="C201" s="381">
        <v>123.88473</v>
      </c>
      <c r="D201" s="379" t="s">
        <v>688</v>
      </c>
      <c r="E201" s="382" t="s">
        <v>720</v>
      </c>
      <c r="F201" s="383"/>
      <c r="G201" s="384"/>
      <c r="H201" s="384"/>
      <c r="I201" s="379"/>
    </row>
    <row r="202" spans="1:9" s="378" customFormat="1" ht="15">
      <c r="A202" s="339"/>
      <c r="B202" s="380" t="s">
        <v>794</v>
      </c>
      <c r="C202" s="381">
        <v>53.73</v>
      </c>
      <c r="D202" s="379" t="s">
        <v>688</v>
      </c>
      <c r="E202" s="382" t="s">
        <v>720</v>
      </c>
      <c r="F202" s="383"/>
      <c r="G202" s="384"/>
      <c r="H202" s="384"/>
      <c r="I202" s="379"/>
    </row>
    <row r="203" spans="1:9" s="378" customFormat="1" ht="15">
      <c r="A203" s="339"/>
      <c r="B203" s="393" t="s">
        <v>754</v>
      </c>
      <c r="C203" s="381">
        <v>69.40187999999999</v>
      </c>
      <c r="D203" s="379" t="s">
        <v>688</v>
      </c>
      <c r="E203" s="391" t="s">
        <v>285</v>
      </c>
      <c r="F203" s="385">
        <v>9.8</v>
      </c>
      <c r="G203" s="388" t="s">
        <v>689</v>
      </c>
      <c r="H203" s="394" t="s">
        <v>690</v>
      </c>
      <c r="I203" s="379"/>
    </row>
    <row r="204" spans="1:9" s="378" customFormat="1" ht="15">
      <c r="A204" s="339"/>
      <c r="B204" s="386" t="s">
        <v>795</v>
      </c>
      <c r="C204" s="381">
        <v>157.24530000000001</v>
      </c>
      <c r="D204" s="379" t="s">
        <v>688</v>
      </c>
      <c r="E204" s="385" t="s">
        <v>285</v>
      </c>
      <c r="F204" s="385">
        <v>10.5</v>
      </c>
      <c r="G204" s="388" t="s">
        <v>689</v>
      </c>
      <c r="H204" s="394" t="s">
        <v>690</v>
      </c>
      <c r="I204" s="379"/>
    </row>
    <row r="205" spans="1:9" s="378" customFormat="1" ht="15">
      <c r="A205" s="339"/>
      <c r="B205" s="393" t="s">
        <v>796</v>
      </c>
      <c r="C205" s="381">
        <v>46.1268</v>
      </c>
      <c r="D205" s="379" t="s">
        <v>688</v>
      </c>
      <c r="E205" s="385" t="s">
        <v>285</v>
      </c>
      <c r="F205" s="385">
        <v>10.14</v>
      </c>
      <c r="G205" s="388" t="s">
        <v>689</v>
      </c>
      <c r="H205" s="394" t="s">
        <v>690</v>
      </c>
      <c r="I205" s="379"/>
    </row>
    <row r="206" spans="1:9" s="378" customFormat="1" ht="15">
      <c r="A206" s="339"/>
      <c r="B206" s="395" t="s">
        <v>797</v>
      </c>
      <c r="C206" s="381">
        <v>22.864</v>
      </c>
      <c r="D206" s="379" t="s">
        <v>688</v>
      </c>
      <c r="E206" s="385" t="s">
        <v>306</v>
      </c>
      <c r="F206" s="383">
        <v>10.75</v>
      </c>
      <c r="G206" s="388" t="s">
        <v>689</v>
      </c>
      <c r="H206" s="394" t="s">
        <v>756</v>
      </c>
      <c r="I206" s="379"/>
    </row>
    <row r="207" spans="1:9" s="378" customFormat="1" ht="15">
      <c r="A207" s="339"/>
      <c r="B207" s="389" t="s">
        <v>755</v>
      </c>
      <c r="C207" s="381">
        <v>20.606399999999997</v>
      </c>
      <c r="D207" s="379" t="s">
        <v>688</v>
      </c>
      <c r="E207" s="396" t="s">
        <v>306</v>
      </c>
      <c r="F207" s="383">
        <v>10.75</v>
      </c>
      <c r="G207" s="388" t="s">
        <v>689</v>
      </c>
      <c r="H207" s="394" t="s">
        <v>756</v>
      </c>
      <c r="I207" s="379"/>
    </row>
    <row r="208" spans="1:9" s="378" customFormat="1" ht="15">
      <c r="A208" s="339"/>
      <c r="B208" s="393" t="s">
        <v>798</v>
      </c>
      <c r="C208" s="381">
        <v>1.5600599999999993</v>
      </c>
      <c r="D208" s="379" t="s">
        <v>688</v>
      </c>
      <c r="E208" s="385" t="s">
        <v>286</v>
      </c>
      <c r="F208" s="385">
        <v>9.75</v>
      </c>
      <c r="G208" s="383" t="s">
        <v>689</v>
      </c>
      <c r="H208" s="383" t="s">
        <v>709</v>
      </c>
      <c r="I208" s="379"/>
    </row>
    <row r="209" spans="1:9" s="378" customFormat="1" ht="15">
      <c r="A209" s="339"/>
      <c r="B209" s="393" t="s">
        <v>799</v>
      </c>
      <c r="C209" s="381">
        <v>3.3323400000000003</v>
      </c>
      <c r="D209" s="379" t="s">
        <v>688</v>
      </c>
      <c r="E209" s="382" t="s">
        <v>285</v>
      </c>
      <c r="F209" s="383">
        <v>10.5</v>
      </c>
      <c r="G209" s="383" t="s">
        <v>689</v>
      </c>
      <c r="H209" s="394" t="s">
        <v>690</v>
      </c>
      <c r="I209" s="379"/>
    </row>
    <row r="210" spans="1:9" s="378" customFormat="1" ht="15">
      <c r="A210" s="339"/>
      <c r="B210" s="393" t="s">
        <v>800</v>
      </c>
      <c r="C210" s="381">
        <v>5.794829999999998</v>
      </c>
      <c r="D210" s="379" t="s">
        <v>688</v>
      </c>
      <c r="E210" s="382" t="s">
        <v>285</v>
      </c>
      <c r="F210" s="383">
        <v>10.5</v>
      </c>
      <c r="G210" s="383" t="s">
        <v>689</v>
      </c>
      <c r="H210" s="394" t="s">
        <v>690</v>
      </c>
      <c r="I210" s="379"/>
    </row>
    <row r="211" spans="1:9" s="378" customFormat="1" ht="30">
      <c r="A211" s="339" t="s">
        <v>617</v>
      </c>
      <c r="B211" s="380" t="s">
        <v>801</v>
      </c>
      <c r="C211" s="346">
        <v>3.1617</v>
      </c>
      <c r="D211" s="380" t="s">
        <v>724</v>
      </c>
      <c r="E211" s="387" t="s">
        <v>285</v>
      </c>
      <c r="F211" s="387">
        <v>10.75</v>
      </c>
      <c r="G211" s="387" t="s">
        <v>725</v>
      </c>
      <c r="H211" s="387" t="s">
        <v>726</v>
      </c>
      <c r="I211" s="379"/>
    </row>
    <row r="212" spans="1:9" s="378" customFormat="1" ht="15">
      <c r="A212" s="339"/>
      <c r="B212" s="380" t="s">
        <v>802</v>
      </c>
      <c r="C212" s="346">
        <v>1.584</v>
      </c>
      <c r="D212" s="380" t="s">
        <v>724</v>
      </c>
      <c r="E212" s="387" t="s">
        <v>285</v>
      </c>
      <c r="F212" s="387">
        <v>10.75</v>
      </c>
      <c r="G212" s="387" t="s">
        <v>725</v>
      </c>
      <c r="H212" s="387" t="s">
        <v>726</v>
      </c>
      <c r="I212" s="379"/>
    </row>
    <row r="213" spans="1:9" s="378" customFormat="1" ht="30">
      <c r="A213" s="339"/>
      <c r="B213" s="380" t="s">
        <v>803</v>
      </c>
      <c r="C213" s="346">
        <v>6.291</v>
      </c>
      <c r="D213" s="380" t="s">
        <v>724</v>
      </c>
      <c r="E213" s="387" t="s">
        <v>285</v>
      </c>
      <c r="F213" s="387">
        <v>10.75</v>
      </c>
      <c r="G213" s="387" t="s">
        <v>725</v>
      </c>
      <c r="H213" s="387" t="s">
        <v>726</v>
      </c>
      <c r="I213" s="379"/>
    </row>
    <row r="214" spans="1:9" s="378" customFormat="1" ht="30">
      <c r="A214" s="339"/>
      <c r="B214" s="380" t="s">
        <v>804</v>
      </c>
      <c r="C214" s="346">
        <v>18.729</v>
      </c>
      <c r="D214" s="380" t="s">
        <v>724</v>
      </c>
      <c r="E214" s="387" t="s">
        <v>285</v>
      </c>
      <c r="F214" s="387">
        <v>10.75</v>
      </c>
      <c r="G214" s="387" t="s">
        <v>725</v>
      </c>
      <c r="H214" s="387" t="s">
        <v>726</v>
      </c>
      <c r="I214" s="379"/>
    </row>
    <row r="215" spans="1:9" s="378" customFormat="1" ht="30">
      <c r="A215" s="339"/>
      <c r="B215" s="380" t="s">
        <v>805</v>
      </c>
      <c r="C215" s="346">
        <v>4.221</v>
      </c>
      <c r="D215" s="380" t="s">
        <v>724</v>
      </c>
      <c r="E215" s="387" t="s">
        <v>285</v>
      </c>
      <c r="F215" s="387">
        <v>10.75</v>
      </c>
      <c r="G215" s="387" t="s">
        <v>725</v>
      </c>
      <c r="H215" s="387" t="s">
        <v>726</v>
      </c>
      <c r="I215" s="379"/>
    </row>
    <row r="216" spans="1:9" s="378" customFormat="1" ht="30">
      <c r="A216" s="339"/>
      <c r="B216" s="380" t="s">
        <v>806</v>
      </c>
      <c r="C216" s="346">
        <v>0.9450000000000001</v>
      </c>
      <c r="D216" s="380" t="s">
        <v>724</v>
      </c>
      <c r="E216" s="387" t="s">
        <v>285</v>
      </c>
      <c r="F216" s="387">
        <v>10.75</v>
      </c>
      <c r="G216" s="387" t="s">
        <v>725</v>
      </c>
      <c r="H216" s="387" t="s">
        <v>726</v>
      </c>
      <c r="I216" s="379"/>
    </row>
    <row r="217" spans="1:9" s="378" customFormat="1" ht="15">
      <c r="A217" s="339"/>
      <c r="B217" s="380" t="s">
        <v>807</v>
      </c>
      <c r="C217" s="346">
        <v>1.791</v>
      </c>
      <c r="D217" s="380" t="s">
        <v>724</v>
      </c>
      <c r="E217" s="387" t="s">
        <v>285</v>
      </c>
      <c r="F217" s="387">
        <v>10.75</v>
      </c>
      <c r="G217" s="387" t="s">
        <v>725</v>
      </c>
      <c r="H217" s="387" t="s">
        <v>726</v>
      </c>
      <c r="I217" s="379"/>
    </row>
    <row r="218" spans="1:9" s="378" customFormat="1" ht="30">
      <c r="A218" s="339"/>
      <c r="B218" s="380" t="s">
        <v>808</v>
      </c>
      <c r="C218" s="346">
        <v>0.738</v>
      </c>
      <c r="D218" s="380" t="s">
        <v>724</v>
      </c>
      <c r="E218" s="387" t="s">
        <v>285</v>
      </c>
      <c r="F218" s="387">
        <v>10.75</v>
      </c>
      <c r="G218" s="387" t="s">
        <v>725</v>
      </c>
      <c r="H218" s="387" t="s">
        <v>726</v>
      </c>
      <c r="I218" s="379"/>
    </row>
    <row r="219" spans="1:9" s="378" customFormat="1" ht="30">
      <c r="A219" s="339"/>
      <c r="B219" s="380" t="s">
        <v>809</v>
      </c>
      <c r="C219" s="346">
        <v>2.259</v>
      </c>
      <c r="D219" s="380" t="s">
        <v>724</v>
      </c>
      <c r="E219" s="387" t="s">
        <v>285</v>
      </c>
      <c r="F219" s="387">
        <v>10.75</v>
      </c>
      <c r="G219" s="387" t="s">
        <v>725</v>
      </c>
      <c r="H219" s="387" t="s">
        <v>726</v>
      </c>
      <c r="I219" s="379"/>
    </row>
    <row r="220" spans="1:9" s="378" customFormat="1" ht="30">
      <c r="A220" s="339"/>
      <c r="B220" s="380" t="s">
        <v>810</v>
      </c>
      <c r="C220" s="346">
        <v>0.405</v>
      </c>
      <c r="D220" s="380" t="s">
        <v>724</v>
      </c>
      <c r="E220" s="387" t="s">
        <v>285</v>
      </c>
      <c r="F220" s="387">
        <v>10.75</v>
      </c>
      <c r="G220" s="387" t="s">
        <v>725</v>
      </c>
      <c r="H220" s="387" t="s">
        <v>726</v>
      </c>
      <c r="I220" s="379"/>
    </row>
    <row r="221" spans="1:9" s="378" customFormat="1" ht="30">
      <c r="A221" s="339"/>
      <c r="B221" s="380" t="s">
        <v>811</v>
      </c>
      <c r="C221" s="346">
        <v>2.979</v>
      </c>
      <c r="D221" s="380" t="s">
        <v>724</v>
      </c>
      <c r="E221" s="387" t="s">
        <v>285</v>
      </c>
      <c r="F221" s="387">
        <v>10.75</v>
      </c>
      <c r="G221" s="387" t="s">
        <v>725</v>
      </c>
      <c r="H221" s="387" t="s">
        <v>726</v>
      </c>
      <c r="I221" s="379"/>
    </row>
    <row r="222" spans="1:9" s="378" customFormat="1" ht="15">
      <c r="A222" s="339"/>
      <c r="B222" s="380" t="s">
        <v>812</v>
      </c>
      <c r="C222" s="346">
        <v>0.909</v>
      </c>
      <c r="D222" s="380" t="s">
        <v>724</v>
      </c>
      <c r="E222" s="387" t="s">
        <v>285</v>
      </c>
      <c r="F222" s="387">
        <v>10.75</v>
      </c>
      <c r="G222" s="387" t="s">
        <v>725</v>
      </c>
      <c r="H222" s="387" t="s">
        <v>726</v>
      </c>
      <c r="I222" s="379"/>
    </row>
    <row r="223" spans="1:9" s="378" customFormat="1" ht="15">
      <c r="A223" s="339"/>
      <c r="B223" s="380" t="s">
        <v>813</v>
      </c>
      <c r="C223" s="346">
        <v>7.173</v>
      </c>
      <c r="D223" s="380" t="s">
        <v>724</v>
      </c>
      <c r="E223" s="387" t="s">
        <v>285</v>
      </c>
      <c r="F223" s="387">
        <v>10.75</v>
      </c>
      <c r="G223" s="387" t="s">
        <v>725</v>
      </c>
      <c r="H223" s="387" t="s">
        <v>726</v>
      </c>
      <c r="I223" s="379"/>
    </row>
    <row r="224" spans="1:9" s="378" customFormat="1" ht="15">
      <c r="A224" s="339"/>
      <c r="B224" s="380" t="s">
        <v>814</v>
      </c>
      <c r="C224" s="346">
        <v>18.63</v>
      </c>
      <c r="D224" s="380" t="s">
        <v>724</v>
      </c>
      <c r="E224" s="387" t="s">
        <v>285</v>
      </c>
      <c r="F224" s="387">
        <v>10.75</v>
      </c>
      <c r="G224" s="387" t="s">
        <v>725</v>
      </c>
      <c r="H224" s="387" t="s">
        <v>726</v>
      </c>
      <c r="I224" s="379"/>
    </row>
    <row r="225" spans="1:9" s="378" customFormat="1" ht="15">
      <c r="A225" s="339"/>
      <c r="B225" s="380" t="s">
        <v>815</v>
      </c>
      <c r="C225" s="346">
        <v>36.018</v>
      </c>
      <c r="D225" s="380" t="s">
        <v>724</v>
      </c>
      <c r="E225" s="387" t="s">
        <v>285</v>
      </c>
      <c r="F225" s="387">
        <v>10.75</v>
      </c>
      <c r="G225" s="387" t="s">
        <v>725</v>
      </c>
      <c r="H225" s="387" t="s">
        <v>726</v>
      </c>
      <c r="I225" s="379"/>
    </row>
    <row r="226" spans="1:9" s="378" customFormat="1" ht="15">
      <c r="A226" s="339"/>
      <c r="B226" s="380" t="s">
        <v>768</v>
      </c>
      <c r="C226" s="346">
        <v>0.30600000000000005</v>
      </c>
      <c r="D226" s="380" t="s">
        <v>724</v>
      </c>
      <c r="E226" s="387" t="s">
        <v>285</v>
      </c>
      <c r="F226" s="387">
        <v>10.75</v>
      </c>
      <c r="G226" s="387" t="s">
        <v>725</v>
      </c>
      <c r="H226" s="387" t="s">
        <v>726</v>
      </c>
      <c r="I226" s="379"/>
    </row>
    <row r="227" spans="1:9" s="378" customFormat="1" ht="15">
      <c r="A227" s="339"/>
      <c r="B227" s="380" t="s">
        <v>769</v>
      </c>
      <c r="C227" s="346">
        <v>0.6120000000000001</v>
      </c>
      <c r="D227" s="380" t="s">
        <v>724</v>
      </c>
      <c r="E227" s="387" t="s">
        <v>285</v>
      </c>
      <c r="F227" s="387">
        <v>10.75</v>
      </c>
      <c r="G227" s="387" t="s">
        <v>725</v>
      </c>
      <c r="H227" s="387" t="s">
        <v>726</v>
      </c>
      <c r="I227" s="379"/>
    </row>
    <row r="228" spans="1:9" s="378" customFormat="1" ht="15">
      <c r="A228" s="339"/>
      <c r="B228" s="380" t="s">
        <v>770</v>
      </c>
      <c r="C228" s="346">
        <v>0.49500000000000005</v>
      </c>
      <c r="D228" s="380" t="s">
        <v>724</v>
      </c>
      <c r="E228" s="387" t="s">
        <v>285</v>
      </c>
      <c r="F228" s="387">
        <v>10.75</v>
      </c>
      <c r="G228" s="387" t="s">
        <v>725</v>
      </c>
      <c r="H228" s="387" t="s">
        <v>726</v>
      </c>
      <c r="I228" s="379"/>
    </row>
    <row r="229" spans="1:9" s="378" customFormat="1" ht="15">
      <c r="A229" s="339"/>
      <c r="B229" s="397" t="s">
        <v>816</v>
      </c>
      <c r="C229" s="346">
        <v>1.809</v>
      </c>
      <c r="D229" s="380" t="s">
        <v>724</v>
      </c>
      <c r="E229" s="387" t="s">
        <v>285</v>
      </c>
      <c r="F229" s="387">
        <v>10.75</v>
      </c>
      <c r="G229" s="387" t="s">
        <v>725</v>
      </c>
      <c r="H229" s="387" t="s">
        <v>726</v>
      </c>
      <c r="I229" s="379"/>
    </row>
    <row r="230" spans="1:9" s="378" customFormat="1" ht="45">
      <c r="A230" s="339"/>
      <c r="B230" s="397" t="s">
        <v>817</v>
      </c>
      <c r="C230" s="346">
        <v>3.6630000000000003</v>
      </c>
      <c r="D230" s="380" t="s">
        <v>724</v>
      </c>
      <c r="E230" s="387" t="s">
        <v>285</v>
      </c>
      <c r="F230" s="387">
        <v>10.75</v>
      </c>
      <c r="G230" s="387" t="s">
        <v>725</v>
      </c>
      <c r="H230" s="387" t="s">
        <v>726</v>
      </c>
      <c r="I230" s="379"/>
    </row>
    <row r="231" spans="1:9" s="378" customFormat="1" ht="15">
      <c r="A231" s="339"/>
      <c r="B231" s="397" t="s">
        <v>818</v>
      </c>
      <c r="C231" s="346">
        <v>5.8500000000000005</v>
      </c>
      <c r="D231" s="380" t="s">
        <v>724</v>
      </c>
      <c r="E231" s="387" t="s">
        <v>285</v>
      </c>
      <c r="F231" s="387">
        <v>10.75</v>
      </c>
      <c r="G231" s="387" t="s">
        <v>725</v>
      </c>
      <c r="H231" s="387" t="s">
        <v>726</v>
      </c>
      <c r="I231" s="379"/>
    </row>
    <row r="232" spans="1:9" s="378" customFormat="1" ht="45">
      <c r="A232" s="339"/>
      <c r="B232" s="397" t="s">
        <v>819</v>
      </c>
      <c r="C232" s="346">
        <v>5.4</v>
      </c>
      <c r="D232" s="380" t="s">
        <v>724</v>
      </c>
      <c r="E232" s="387" t="s">
        <v>285</v>
      </c>
      <c r="F232" s="387">
        <v>10.75</v>
      </c>
      <c r="G232" s="387" t="s">
        <v>725</v>
      </c>
      <c r="H232" s="387" t="s">
        <v>726</v>
      </c>
      <c r="I232" s="379"/>
    </row>
    <row r="233" spans="1:9" s="378" customFormat="1" ht="15">
      <c r="A233" s="339"/>
      <c r="B233" s="397" t="s">
        <v>820</v>
      </c>
      <c r="C233" s="346">
        <v>2.7</v>
      </c>
      <c r="D233" s="380" t="s">
        <v>724</v>
      </c>
      <c r="E233" s="387" t="s">
        <v>285</v>
      </c>
      <c r="F233" s="387">
        <v>10.75</v>
      </c>
      <c r="G233" s="387" t="s">
        <v>725</v>
      </c>
      <c r="H233" s="387" t="s">
        <v>726</v>
      </c>
      <c r="I233" s="379"/>
    </row>
    <row r="234" spans="1:9" s="378" customFormat="1" ht="15">
      <c r="A234" s="339"/>
      <c r="B234" s="397" t="s">
        <v>821</v>
      </c>
      <c r="C234" s="346">
        <v>2.7</v>
      </c>
      <c r="D234" s="380" t="s">
        <v>724</v>
      </c>
      <c r="E234" s="387" t="s">
        <v>285</v>
      </c>
      <c r="F234" s="387">
        <v>10.75</v>
      </c>
      <c r="G234" s="387" t="s">
        <v>725</v>
      </c>
      <c r="H234" s="387" t="s">
        <v>726</v>
      </c>
      <c r="I234" s="379"/>
    </row>
    <row r="235" spans="1:9" s="378" customFormat="1" ht="15">
      <c r="A235" s="339"/>
      <c r="B235" s="397" t="s">
        <v>822</v>
      </c>
      <c r="C235" s="346">
        <v>2.25</v>
      </c>
      <c r="D235" s="380" t="s">
        <v>724</v>
      </c>
      <c r="E235" s="387" t="s">
        <v>285</v>
      </c>
      <c r="F235" s="387">
        <v>10.75</v>
      </c>
      <c r="G235" s="387" t="s">
        <v>725</v>
      </c>
      <c r="H235" s="387" t="s">
        <v>726</v>
      </c>
      <c r="I235" s="379"/>
    </row>
    <row r="236" spans="1:9" s="378" customFormat="1" ht="45">
      <c r="A236" s="339"/>
      <c r="B236" s="397" t="s">
        <v>823</v>
      </c>
      <c r="C236" s="346">
        <v>3.6</v>
      </c>
      <c r="D236" s="380" t="s">
        <v>724</v>
      </c>
      <c r="E236" s="387" t="s">
        <v>285</v>
      </c>
      <c r="F236" s="387">
        <v>10.75</v>
      </c>
      <c r="G236" s="387" t="s">
        <v>725</v>
      </c>
      <c r="H236" s="387" t="s">
        <v>726</v>
      </c>
      <c r="I236" s="379"/>
    </row>
    <row r="237" spans="1:9" s="378" customFormat="1" ht="15">
      <c r="A237" s="339"/>
      <c r="B237" s="397" t="s">
        <v>824</v>
      </c>
      <c r="C237" s="346">
        <v>7.2</v>
      </c>
      <c r="D237" s="380" t="s">
        <v>724</v>
      </c>
      <c r="E237" s="387" t="s">
        <v>285</v>
      </c>
      <c r="F237" s="387">
        <v>10.75</v>
      </c>
      <c r="G237" s="387" t="s">
        <v>725</v>
      </c>
      <c r="H237" s="387" t="s">
        <v>726</v>
      </c>
      <c r="I237" s="379"/>
    </row>
    <row r="238" spans="1:9" s="378" customFormat="1" ht="15">
      <c r="A238" s="339"/>
      <c r="B238" s="397" t="s">
        <v>825</v>
      </c>
      <c r="C238" s="346">
        <v>7.2</v>
      </c>
      <c r="D238" s="380" t="s">
        <v>724</v>
      </c>
      <c r="E238" s="387" t="s">
        <v>285</v>
      </c>
      <c r="F238" s="387">
        <v>10.75</v>
      </c>
      <c r="G238" s="387" t="s">
        <v>725</v>
      </c>
      <c r="H238" s="387" t="s">
        <v>726</v>
      </c>
      <c r="I238" s="379"/>
    </row>
    <row r="239" spans="1:9" s="378" customFormat="1" ht="15">
      <c r="A239" s="339"/>
      <c r="B239" s="397" t="s">
        <v>826</v>
      </c>
      <c r="C239" s="346">
        <v>1.818</v>
      </c>
      <c r="D239" s="380" t="s">
        <v>724</v>
      </c>
      <c r="E239" s="387" t="s">
        <v>285</v>
      </c>
      <c r="F239" s="387">
        <v>10.75</v>
      </c>
      <c r="G239" s="387" t="s">
        <v>725</v>
      </c>
      <c r="H239" s="387" t="s">
        <v>726</v>
      </c>
      <c r="I239" s="379"/>
    </row>
    <row r="240" spans="1:9" s="378" customFormat="1" ht="15">
      <c r="A240" s="339"/>
      <c r="B240" s="389" t="s">
        <v>827</v>
      </c>
      <c r="C240" s="346">
        <v>121.34700000000001</v>
      </c>
      <c r="D240" s="389" t="s">
        <v>688</v>
      </c>
      <c r="E240" s="398" t="s">
        <v>285</v>
      </c>
      <c r="F240" s="387">
        <v>10.75</v>
      </c>
      <c r="G240" s="387" t="s">
        <v>725</v>
      </c>
      <c r="H240" s="387" t="s">
        <v>726</v>
      </c>
      <c r="I240" s="379"/>
    </row>
    <row r="241" spans="1:9" s="345" customFormat="1" ht="15">
      <c r="A241" s="339"/>
      <c r="B241" s="357" t="s">
        <v>102</v>
      </c>
      <c r="C241" s="358">
        <f>SUM(C154:C240)</f>
        <v>2604.079017</v>
      </c>
      <c r="D241" s="359"/>
      <c r="E241" s="359"/>
      <c r="F241" s="359"/>
      <c r="G241" s="359"/>
      <c r="H241" s="359"/>
      <c r="I241" s="359"/>
    </row>
    <row r="242" spans="1:9" s="345" customFormat="1" ht="15">
      <c r="A242" s="339"/>
      <c r="B242" s="361"/>
      <c r="C242" s="362"/>
      <c r="D242" s="361"/>
      <c r="E242" s="361"/>
      <c r="F242" s="361"/>
      <c r="G242" s="361"/>
      <c r="H242" s="361"/>
      <c r="I242" s="361"/>
    </row>
    <row r="243" spans="1:9" s="345" customFormat="1" ht="15">
      <c r="A243" s="339"/>
      <c r="B243" s="361"/>
      <c r="C243" s="362"/>
      <c r="D243" s="361"/>
      <c r="E243" s="361"/>
      <c r="F243" s="361"/>
      <c r="G243" s="361"/>
      <c r="H243" s="361"/>
      <c r="I243" s="361"/>
    </row>
    <row r="244" spans="1:9" s="345" customFormat="1" ht="15">
      <c r="A244" s="339"/>
      <c r="B244" s="331" t="s">
        <v>478</v>
      </c>
      <c r="C244" s="332"/>
      <c r="D244" s="363"/>
      <c r="E244" s="364"/>
      <c r="F244" s="363"/>
      <c r="G244" s="365" t="s">
        <v>251</v>
      </c>
      <c r="H244" s="363"/>
      <c r="I244" s="363"/>
    </row>
    <row r="245" spans="1:9" s="345" customFormat="1" ht="42.75">
      <c r="A245" s="339"/>
      <c r="B245" s="335" t="s">
        <v>0</v>
      </c>
      <c r="C245" s="336" t="s">
        <v>204</v>
      </c>
      <c r="D245" s="337" t="s">
        <v>365</v>
      </c>
      <c r="E245" s="337" t="s">
        <v>366</v>
      </c>
      <c r="F245" s="337" t="s">
        <v>367</v>
      </c>
      <c r="G245" s="337" t="s">
        <v>368</v>
      </c>
      <c r="H245" s="338" t="s">
        <v>369</v>
      </c>
      <c r="I245" s="337" t="s">
        <v>107</v>
      </c>
    </row>
    <row r="246" spans="1:9" s="345" customFormat="1" ht="15">
      <c r="A246" s="339" t="s">
        <v>650</v>
      </c>
      <c r="B246" s="340" t="s">
        <v>668</v>
      </c>
      <c r="C246" s="341">
        <v>81</v>
      </c>
      <c r="D246" s="342" t="s">
        <v>652</v>
      </c>
      <c r="E246" s="341" t="s">
        <v>669</v>
      </c>
      <c r="F246" s="343"/>
      <c r="G246" s="343"/>
      <c r="H246" s="343"/>
      <c r="I246" s="343"/>
    </row>
    <row r="247" spans="1:9" s="345" customFormat="1" ht="30">
      <c r="A247" s="339"/>
      <c r="B247" s="340" t="s">
        <v>670</v>
      </c>
      <c r="C247" s="341">
        <v>16.2</v>
      </c>
      <c r="D247" s="342" t="s">
        <v>652</v>
      </c>
      <c r="E247" s="348" t="s">
        <v>285</v>
      </c>
      <c r="F247" s="343"/>
      <c r="G247" s="343"/>
      <c r="H247" s="343"/>
      <c r="I247" s="343"/>
    </row>
    <row r="248" spans="1:9" s="345" customFormat="1" ht="15">
      <c r="A248" s="339"/>
      <c r="B248" s="350" t="s">
        <v>675</v>
      </c>
      <c r="C248" s="341">
        <v>72</v>
      </c>
      <c r="D248" s="342" t="s">
        <v>652</v>
      </c>
      <c r="E248" s="346" t="s">
        <v>285</v>
      </c>
      <c r="F248" s="343"/>
      <c r="G248" s="343"/>
      <c r="H248" s="343"/>
      <c r="I248" s="343"/>
    </row>
    <row r="249" spans="1:9" s="345" customFormat="1" ht="30">
      <c r="A249" s="339"/>
      <c r="B249" s="340" t="s">
        <v>676</v>
      </c>
      <c r="C249" s="341">
        <v>72</v>
      </c>
      <c r="D249" s="399" t="s">
        <v>663</v>
      </c>
      <c r="E249" s="346" t="s">
        <v>285</v>
      </c>
      <c r="F249" s="343"/>
      <c r="G249" s="343"/>
      <c r="H249" s="343"/>
      <c r="I249" s="343"/>
    </row>
    <row r="250" spans="1:9" s="345" customFormat="1" ht="30">
      <c r="A250" s="339"/>
      <c r="B250" s="340" t="s">
        <v>679</v>
      </c>
      <c r="C250" s="341">
        <v>63</v>
      </c>
      <c r="D250" s="399" t="s">
        <v>663</v>
      </c>
      <c r="E250" s="341" t="s">
        <v>494</v>
      </c>
      <c r="F250" s="343"/>
      <c r="G250" s="343"/>
      <c r="H250" s="343"/>
      <c r="I250" s="343"/>
    </row>
    <row r="251" spans="1:9" s="345" customFormat="1" ht="30">
      <c r="A251" s="339"/>
      <c r="B251" s="340" t="s">
        <v>680</v>
      </c>
      <c r="C251" s="341">
        <v>135.24300000000002</v>
      </c>
      <c r="D251" s="399" t="s">
        <v>663</v>
      </c>
      <c r="E251" s="346" t="s">
        <v>285</v>
      </c>
      <c r="F251" s="343"/>
      <c r="G251" s="343"/>
      <c r="H251" s="343"/>
      <c r="I251" s="343"/>
    </row>
    <row r="252" spans="1:9" s="345" customFormat="1" ht="30">
      <c r="A252" s="339"/>
      <c r="B252" s="340" t="s">
        <v>735</v>
      </c>
      <c r="C252" s="341">
        <v>57.024</v>
      </c>
      <c r="D252" s="399" t="s">
        <v>663</v>
      </c>
      <c r="E252" s="346" t="s">
        <v>285</v>
      </c>
      <c r="F252" s="343"/>
      <c r="G252" s="343"/>
      <c r="H252" s="343"/>
      <c r="I252" s="343"/>
    </row>
    <row r="253" spans="1:9" s="345" customFormat="1" ht="30">
      <c r="A253" s="339"/>
      <c r="B253" s="340" t="s">
        <v>683</v>
      </c>
      <c r="C253" s="341">
        <v>72</v>
      </c>
      <c r="D253" s="342" t="s">
        <v>652</v>
      </c>
      <c r="E253" s="346" t="s">
        <v>285</v>
      </c>
      <c r="F253" s="343"/>
      <c r="G253" s="343"/>
      <c r="H253" s="343"/>
      <c r="I253" s="343"/>
    </row>
    <row r="254" spans="1:9" s="345" customFormat="1" ht="15">
      <c r="A254" s="339"/>
      <c r="B254" s="340" t="s">
        <v>736</v>
      </c>
      <c r="C254" s="341">
        <v>45</v>
      </c>
      <c r="D254" s="342" t="s">
        <v>652</v>
      </c>
      <c r="E254" s="346" t="s">
        <v>285</v>
      </c>
      <c r="F254" s="343"/>
      <c r="G254" s="343"/>
      <c r="H254" s="343"/>
      <c r="I254" s="343"/>
    </row>
    <row r="255" spans="1:9" s="345" customFormat="1" ht="15">
      <c r="A255" s="339"/>
      <c r="B255" s="340" t="s">
        <v>685</v>
      </c>
      <c r="C255" s="341">
        <v>54</v>
      </c>
      <c r="D255" s="342" t="s">
        <v>652</v>
      </c>
      <c r="E255" s="346" t="s">
        <v>285</v>
      </c>
      <c r="F255" s="343"/>
      <c r="G255" s="343"/>
      <c r="H255" s="343"/>
      <c r="I255" s="343"/>
    </row>
    <row r="256" spans="1:9" s="345" customFormat="1" ht="30">
      <c r="A256" s="339"/>
      <c r="B256" s="340" t="s">
        <v>737</v>
      </c>
      <c r="C256" s="341">
        <v>22.5</v>
      </c>
      <c r="D256" s="399" t="s">
        <v>655</v>
      </c>
      <c r="E256" s="346" t="s">
        <v>285</v>
      </c>
      <c r="F256" s="343"/>
      <c r="G256" s="343"/>
      <c r="H256" s="343"/>
      <c r="I256" s="343"/>
    </row>
    <row r="257" spans="1:9" s="345" customFormat="1" ht="30">
      <c r="A257" s="339"/>
      <c r="B257" s="350" t="s">
        <v>739</v>
      </c>
      <c r="C257" s="341">
        <v>45</v>
      </c>
      <c r="D257" s="399" t="s">
        <v>740</v>
      </c>
      <c r="E257" s="346" t="s">
        <v>285</v>
      </c>
      <c r="F257" s="343"/>
      <c r="G257" s="343"/>
      <c r="H257" s="343"/>
      <c r="I257" s="343"/>
    </row>
    <row r="258" spans="1:9" s="345" customFormat="1" ht="15">
      <c r="A258" s="339"/>
      <c r="B258" s="340" t="s">
        <v>734</v>
      </c>
      <c r="C258" s="341">
        <v>0</v>
      </c>
      <c r="D258" s="342" t="s">
        <v>652</v>
      </c>
      <c r="E258" s="346" t="s">
        <v>285</v>
      </c>
      <c r="F258" s="343"/>
      <c r="G258" s="343"/>
      <c r="H258" s="343"/>
      <c r="I258" s="343"/>
    </row>
    <row r="259" spans="1:9" s="345" customFormat="1" ht="15">
      <c r="A259" s="339"/>
      <c r="B259" s="350" t="s">
        <v>828</v>
      </c>
      <c r="C259" s="341">
        <v>90</v>
      </c>
      <c r="D259" s="342" t="s">
        <v>652</v>
      </c>
      <c r="E259" s="346" t="s">
        <v>285</v>
      </c>
      <c r="F259" s="343"/>
      <c r="G259" s="343"/>
      <c r="H259" s="343"/>
      <c r="I259" s="343"/>
    </row>
    <row r="260" spans="1:9" s="345" customFormat="1" ht="15">
      <c r="A260" s="339"/>
      <c r="B260" s="350" t="s">
        <v>829</v>
      </c>
      <c r="C260" s="351">
        <v>4.5</v>
      </c>
      <c r="D260" s="342" t="s">
        <v>617</v>
      </c>
      <c r="E260" s="346" t="s">
        <v>285</v>
      </c>
      <c r="F260" s="343"/>
      <c r="G260" s="343"/>
      <c r="H260" s="343"/>
      <c r="I260" s="343"/>
    </row>
    <row r="261" spans="1:9" s="345" customFormat="1" ht="15">
      <c r="A261" s="339" t="s">
        <v>686</v>
      </c>
      <c r="B261" s="340" t="s">
        <v>788</v>
      </c>
      <c r="C261" s="351">
        <v>87.843182</v>
      </c>
      <c r="D261" s="344" t="s">
        <v>688</v>
      </c>
      <c r="E261" s="346" t="s">
        <v>286</v>
      </c>
      <c r="F261" s="346"/>
      <c r="G261" s="346"/>
      <c r="H261" s="346"/>
      <c r="I261" s="343"/>
    </row>
    <row r="262" spans="1:9" s="345" customFormat="1" ht="15">
      <c r="A262" s="339"/>
      <c r="B262" s="400" t="s">
        <v>787</v>
      </c>
      <c r="C262" s="351">
        <v>60.2676</v>
      </c>
      <c r="D262" s="344" t="s">
        <v>688</v>
      </c>
      <c r="E262" s="341" t="s">
        <v>285</v>
      </c>
      <c r="F262" s="352">
        <v>10.5</v>
      </c>
      <c r="G262" s="352" t="s">
        <v>689</v>
      </c>
      <c r="H262" s="352" t="s">
        <v>690</v>
      </c>
      <c r="I262" s="343"/>
    </row>
    <row r="263" spans="1:9" s="345" customFormat="1" ht="15">
      <c r="A263" s="339"/>
      <c r="B263" s="340" t="s">
        <v>830</v>
      </c>
      <c r="C263" s="351">
        <v>33.174</v>
      </c>
      <c r="D263" s="344" t="s">
        <v>688</v>
      </c>
      <c r="E263" s="352" t="s">
        <v>285</v>
      </c>
      <c r="F263" s="352">
        <v>10.5</v>
      </c>
      <c r="G263" s="352" t="s">
        <v>689</v>
      </c>
      <c r="H263" s="352" t="s">
        <v>690</v>
      </c>
      <c r="I263" s="343"/>
    </row>
    <row r="264" spans="1:9" s="345" customFormat="1" ht="15">
      <c r="A264" s="339"/>
      <c r="B264" s="340" t="s">
        <v>831</v>
      </c>
      <c r="C264" s="351">
        <v>41.27562000000001</v>
      </c>
      <c r="D264" s="344" t="s">
        <v>688</v>
      </c>
      <c r="E264" s="352" t="s">
        <v>285</v>
      </c>
      <c r="F264" s="352">
        <v>10.5</v>
      </c>
      <c r="G264" s="352" t="s">
        <v>689</v>
      </c>
      <c r="H264" s="352" t="s">
        <v>690</v>
      </c>
      <c r="I264" s="343"/>
    </row>
    <row r="265" spans="1:9" s="345" customFormat="1" ht="15">
      <c r="A265" s="339"/>
      <c r="B265" s="340" t="s">
        <v>832</v>
      </c>
      <c r="C265" s="351">
        <v>31.970699999999997</v>
      </c>
      <c r="D265" s="344" t="s">
        <v>688</v>
      </c>
      <c r="E265" s="341" t="s">
        <v>285</v>
      </c>
      <c r="F265" s="352">
        <v>10.5</v>
      </c>
      <c r="G265" s="353" t="s">
        <v>689</v>
      </c>
      <c r="H265" s="354" t="s">
        <v>690</v>
      </c>
      <c r="I265" s="343"/>
    </row>
    <row r="266" spans="1:9" s="345" customFormat="1" ht="15">
      <c r="A266" s="339"/>
      <c r="B266" s="340" t="s">
        <v>833</v>
      </c>
      <c r="C266" s="351">
        <v>64.13472</v>
      </c>
      <c r="D266" s="344" t="s">
        <v>688</v>
      </c>
      <c r="E266" s="352" t="s">
        <v>285</v>
      </c>
      <c r="F266" s="352">
        <v>10.5</v>
      </c>
      <c r="G266" s="353" t="s">
        <v>689</v>
      </c>
      <c r="H266" s="354" t="s">
        <v>690</v>
      </c>
      <c r="I266" s="343"/>
    </row>
    <row r="267" spans="1:9" s="345" customFormat="1" ht="15">
      <c r="A267" s="339"/>
      <c r="B267" s="340" t="s">
        <v>834</v>
      </c>
      <c r="C267" s="351">
        <v>1.9664750000000013</v>
      </c>
      <c r="D267" s="344" t="s">
        <v>688</v>
      </c>
      <c r="E267" s="352" t="s">
        <v>286</v>
      </c>
      <c r="F267" s="352">
        <v>10.4</v>
      </c>
      <c r="G267" s="352" t="s">
        <v>689</v>
      </c>
      <c r="H267" s="352" t="s">
        <v>690</v>
      </c>
      <c r="I267" s="343"/>
    </row>
    <row r="268" spans="1:9" s="345" customFormat="1" ht="15">
      <c r="A268" s="339"/>
      <c r="B268" s="340" t="s">
        <v>835</v>
      </c>
      <c r="C268" s="351">
        <v>7.476299999999998</v>
      </c>
      <c r="D268" s="344" t="s">
        <v>688</v>
      </c>
      <c r="E268" s="352" t="s">
        <v>836</v>
      </c>
      <c r="F268" s="352">
        <v>10.4</v>
      </c>
      <c r="G268" s="353" t="s">
        <v>693</v>
      </c>
      <c r="H268" s="354" t="s">
        <v>690</v>
      </c>
      <c r="I268" s="343"/>
    </row>
    <row r="269" spans="1:9" s="345" customFormat="1" ht="15">
      <c r="A269" s="339"/>
      <c r="B269" s="340" t="s">
        <v>837</v>
      </c>
      <c r="C269" s="351">
        <v>45.5436</v>
      </c>
      <c r="D269" s="344" t="s">
        <v>688</v>
      </c>
      <c r="E269" s="352" t="s">
        <v>285</v>
      </c>
      <c r="F269" s="341">
        <v>9.8</v>
      </c>
      <c r="G269" s="353" t="s">
        <v>689</v>
      </c>
      <c r="H269" s="354" t="s">
        <v>690</v>
      </c>
      <c r="I269" s="343"/>
    </row>
    <row r="270" spans="1:9" s="345" customFormat="1" ht="15">
      <c r="A270" s="339"/>
      <c r="B270" s="400" t="s">
        <v>776</v>
      </c>
      <c r="C270" s="351">
        <v>120.6</v>
      </c>
      <c r="D270" s="344" t="s">
        <v>688</v>
      </c>
      <c r="E270" s="346" t="s">
        <v>285</v>
      </c>
      <c r="F270" s="352">
        <v>10.5</v>
      </c>
      <c r="G270" s="352" t="s">
        <v>689</v>
      </c>
      <c r="H270" s="352" t="s">
        <v>690</v>
      </c>
      <c r="I270" s="343"/>
    </row>
    <row r="271" spans="1:9" s="345" customFormat="1" ht="15">
      <c r="A271" s="339"/>
      <c r="B271" s="340" t="s">
        <v>789</v>
      </c>
      <c r="C271" s="351">
        <v>41.29767</v>
      </c>
      <c r="D271" s="344" t="s">
        <v>688</v>
      </c>
      <c r="E271" s="346" t="s">
        <v>720</v>
      </c>
      <c r="F271" s="346"/>
      <c r="G271" s="346"/>
      <c r="H271" s="346"/>
      <c r="I271" s="343"/>
    </row>
    <row r="272" spans="1:9" s="345" customFormat="1" ht="15">
      <c r="A272" s="339"/>
      <c r="B272" s="340" t="s">
        <v>791</v>
      </c>
      <c r="C272" s="351">
        <v>39.710736000000004</v>
      </c>
      <c r="D272" s="344" t="s">
        <v>688</v>
      </c>
      <c r="E272" s="346" t="s">
        <v>285</v>
      </c>
      <c r="F272" s="346"/>
      <c r="G272" s="346"/>
      <c r="H272" s="346"/>
      <c r="I272" s="343"/>
    </row>
    <row r="273" spans="1:9" s="345" customFormat="1" ht="15">
      <c r="A273" s="339"/>
      <c r="B273" s="340" t="s">
        <v>792</v>
      </c>
      <c r="C273" s="351">
        <v>79.7076</v>
      </c>
      <c r="D273" s="344" t="s">
        <v>688</v>
      </c>
      <c r="E273" s="346" t="s">
        <v>285</v>
      </c>
      <c r="F273" s="346"/>
      <c r="G273" s="346"/>
      <c r="H273" s="346"/>
      <c r="I273" s="343"/>
    </row>
    <row r="274" spans="1:9" s="345" customFormat="1" ht="15">
      <c r="A274" s="339"/>
      <c r="B274" s="340" t="s">
        <v>793</v>
      </c>
      <c r="C274" s="351">
        <v>82.58985000000001</v>
      </c>
      <c r="D274" s="344" t="s">
        <v>688</v>
      </c>
      <c r="E274" s="341" t="s">
        <v>720</v>
      </c>
      <c r="F274" s="352"/>
      <c r="G274" s="341"/>
      <c r="H274" s="341"/>
      <c r="I274" s="343"/>
    </row>
    <row r="275" spans="1:9" s="345" customFormat="1" ht="15">
      <c r="A275" s="339"/>
      <c r="B275" s="340" t="s">
        <v>794</v>
      </c>
      <c r="C275" s="351">
        <v>35.82</v>
      </c>
      <c r="D275" s="344" t="s">
        <v>688</v>
      </c>
      <c r="E275" s="341" t="s">
        <v>720</v>
      </c>
      <c r="F275" s="352"/>
      <c r="G275" s="341"/>
      <c r="H275" s="341"/>
      <c r="I275" s="343"/>
    </row>
    <row r="276" spans="1:9" s="345" customFormat="1" ht="15">
      <c r="A276" s="339"/>
      <c r="B276" s="400" t="s">
        <v>795</v>
      </c>
      <c r="C276" s="351">
        <v>104.8302</v>
      </c>
      <c r="D276" s="344" t="s">
        <v>688</v>
      </c>
      <c r="E276" s="352" t="s">
        <v>285</v>
      </c>
      <c r="F276" s="352">
        <v>10.5</v>
      </c>
      <c r="G276" s="353" t="s">
        <v>689</v>
      </c>
      <c r="H276" s="354" t="s">
        <v>690</v>
      </c>
      <c r="I276" s="343"/>
    </row>
    <row r="277" spans="1:9" s="345" customFormat="1" ht="45">
      <c r="A277" s="339"/>
      <c r="B277" s="340" t="s">
        <v>838</v>
      </c>
      <c r="C277" s="351">
        <v>80.5842</v>
      </c>
      <c r="D277" s="344" t="s">
        <v>688</v>
      </c>
      <c r="E277" s="352" t="s">
        <v>285</v>
      </c>
      <c r="F277" s="352"/>
      <c r="G277" s="341"/>
      <c r="H277" s="341"/>
      <c r="I277" s="343"/>
    </row>
    <row r="278" spans="1:9" s="345" customFormat="1" ht="15">
      <c r="A278" s="339"/>
      <c r="B278" s="340" t="s">
        <v>796</v>
      </c>
      <c r="C278" s="351">
        <v>30.751200000000004</v>
      </c>
      <c r="D278" s="344" t="s">
        <v>688</v>
      </c>
      <c r="E278" s="352" t="s">
        <v>285</v>
      </c>
      <c r="F278" s="352">
        <v>10.14</v>
      </c>
      <c r="G278" s="353" t="s">
        <v>689</v>
      </c>
      <c r="H278" s="354" t="s">
        <v>690</v>
      </c>
      <c r="I278" s="343"/>
    </row>
    <row r="279" spans="1:9" s="345" customFormat="1" ht="15">
      <c r="A279" s="339"/>
      <c r="B279" s="340" t="s">
        <v>798</v>
      </c>
      <c r="C279" s="351">
        <v>17.98226</v>
      </c>
      <c r="D279" s="344" t="s">
        <v>688</v>
      </c>
      <c r="E279" s="352" t="s">
        <v>286</v>
      </c>
      <c r="F279" s="352">
        <v>9.75</v>
      </c>
      <c r="G279" s="352" t="s">
        <v>689</v>
      </c>
      <c r="H279" s="352" t="s">
        <v>709</v>
      </c>
      <c r="I279" s="343"/>
    </row>
    <row r="280" spans="1:9" s="345" customFormat="1" ht="15">
      <c r="A280" s="339"/>
      <c r="B280" s="340" t="s">
        <v>799</v>
      </c>
      <c r="C280" s="351">
        <v>20.22156</v>
      </c>
      <c r="D280" s="344" t="s">
        <v>688</v>
      </c>
      <c r="E280" s="341" t="s">
        <v>285</v>
      </c>
      <c r="F280" s="352">
        <v>10.5</v>
      </c>
      <c r="G280" s="352" t="s">
        <v>689</v>
      </c>
      <c r="H280" s="354" t="s">
        <v>690</v>
      </c>
      <c r="I280" s="343"/>
    </row>
    <row r="281" spans="1:9" s="345" customFormat="1" ht="15">
      <c r="A281" s="339"/>
      <c r="B281" s="340" t="s">
        <v>800</v>
      </c>
      <c r="C281" s="351">
        <v>26.363250000000004</v>
      </c>
      <c r="D281" s="344" t="s">
        <v>688</v>
      </c>
      <c r="E281" s="341" t="s">
        <v>285</v>
      </c>
      <c r="F281" s="352">
        <v>10.5</v>
      </c>
      <c r="G281" s="352" t="s">
        <v>689</v>
      </c>
      <c r="H281" s="354" t="s">
        <v>690</v>
      </c>
      <c r="I281" s="343"/>
    </row>
    <row r="282" spans="1:9" s="345" customFormat="1" ht="15">
      <c r="A282" s="339"/>
      <c r="B282" s="340" t="s">
        <v>839</v>
      </c>
      <c r="C282" s="351">
        <v>6.843600000000001</v>
      </c>
      <c r="D282" s="344" t="s">
        <v>688</v>
      </c>
      <c r="E282" s="352" t="s">
        <v>285</v>
      </c>
      <c r="F282" s="352">
        <v>10.5</v>
      </c>
      <c r="G282" s="352" t="s">
        <v>689</v>
      </c>
      <c r="H282" s="352" t="s">
        <v>690</v>
      </c>
      <c r="I282" s="343"/>
    </row>
    <row r="283" spans="1:9" s="345" customFormat="1" ht="15">
      <c r="A283" s="339"/>
      <c r="B283" s="340" t="s">
        <v>782</v>
      </c>
      <c r="C283" s="351">
        <v>55.88271</v>
      </c>
      <c r="D283" s="344" t="s">
        <v>688</v>
      </c>
      <c r="E283" s="341" t="s">
        <v>285</v>
      </c>
      <c r="F283" s="343">
        <v>10.5</v>
      </c>
      <c r="G283" s="352" t="s">
        <v>689</v>
      </c>
      <c r="H283" s="352" t="s">
        <v>690</v>
      </c>
      <c r="I283" s="343"/>
    </row>
    <row r="284" spans="1:9" s="345" customFormat="1" ht="15">
      <c r="A284" s="339"/>
      <c r="B284" s="340" t="s">
        <v>783</v>
      </c>
      <c r="C284" s="351">
        <v>71.9244</v>
      </c>
      <c r="D284" s="344" t="s">
        <v>688</v>
      </c>
      <c r="E284" s="341" t="s">
        <v>285</v>
      </c>
      <c r="F284" s="352">
        <v>10.5</v>
      </c>
      <c r="G284" s="352" t="s">
        <v>689</v>
      </c>
      <c r="H284" s="352" t="s">
        <v>690</v>
      </c>
      <c r="I284" s="343"/>
    </row>
    <row r="285" spans="1:9" s="345" customFormat="1" ht="15">
      <c r="A285" s="339"/>
      <c r="B285" s="355" t="s">
        <v>797</v>
      </c>
      <c r="C285" s="351">
        <v>82.86399999999999</v>
      </c>
      <c r="D285" s="344" t="s">
        <v>688</v>
      </c>
      <c r="E285" s="352" t="s">
        <v>306</v>
      </c>
      <c r="F285" s="352">
        <v>10.75</v>
      </c>
      <c r="G285" s="353" t="s">
        <v>689</v>
      </c>
      <c r="H285" s="354" t="s">
        <v>756</v>
      </c>
      <c r="I285" s="343"/>
    </row>
    <row r="286" spans="1:9" s="345" customFormat="1" ht="15">
      <c r="A286" s="339"/>
      <c r="B286" s="355" t="s">
        <v>781</v>
      </c>
      <c r="C286" s="351">
        <v>101.95830000000002</v>
      </c>
      <c r="D286" s="344" t="s">
        <v>688</v>
      </c>
      <c r="E286" s="341" t="s">
        <v>285</v>
      </c>
      <c r="F286" s="352">
        <v>10.2</v>
      </c>
      <c r="G286" s="352" t="s">
        <v>689</v>
      </c>
      <c r="H286" s="352" t="s">
        <v>690</v>
      </c>
      <c r="I286" s="343"/>
    </row>
    <row r="287" spans="1:9" s="345" customFormat="1" ht="30">
      <c r="A287" s="339"/>
      <c r="B287" s="340" t="s">
        <v>777</v>
      </c>
      <c r="C287" s="351">
        <v>73.6605</v>
      </c>
      <c r="D287" s="344" t="s">
        <v>688</v>
      </c>
      <c r="E287" s="352" t="s">
        <v>285</v>
      </c>
      <c r="F287" s="352">
        <v>10.2</v>
      </c>
      <c r="G287" s="352" t="s">
        <v>689</v>
      </c>
      <c r="H287" s="352" t="s">
        <v>690</v>
      </c>
      <c r="I287" s="343"/>
    </row>
    <row r="288" spans="1:9" s="345" customFormat="1" ht="15">
      <c r="A288" s="339"/>
      <c r="B288" s="340" t="s">
        <v>778</v>
      </c>
      <c r="C288" s="351">
        <v>166.73744499999998</v>
      </c>
      <c r="D288" s="344" t="s">
        <v>688</v>
      </c>
      <c r="E288" s="352" t="s">
        <v>286</v>
      </c>
      <c r="F288" s="352">
        <v>9.75</v>
      </c>
      <c r="G288" s="352" t="s">
        <v>779</v>
      </c>
      <c r="H288" s="352" t="s">
        <v>756</v>
      </c>
      <c r="I288" s="343"/>
    </row>
    <row r="289" spans="1:9" s="345" customFormat="1" ht="30">
      <c r="A289" s="339"/>
      <c r="B289" s="340" t="s">
        <v>780</v>
      </c>
      <c r="C289" s="351">
        <v>60.511500000000005</v>
      </c>
      <c r="D289" s="344" t="s">
        <v>688</v>
      </c>
      <c r="E289" s="352" t="s">
        <v>285</v>
      </c>
      <c r="F289" s="352">
        <v>10.2</v>
      </c>
      <c r="G289" s="353" t="s">
        <v>689</v>
      </c>
      <c r="H289" s="352" t="s">
        <v>690</v>
      </c>
      <c r="I289" s="343"/>
    </row>
    <row r="290" spans="1:9" s="345" customFormat="1" ht="15">
      <c r="A290" s="339" t="s">
        <v>617</v>
      </c>
      <c r="B290" s="340" t="s">
        <v>840</v>
      </c>
      <c r="C290" s="341">
        <v>2.106</v>
      </c>
      <c r="D290" s="340" t="s">
        <v>724</v>
      </c>
      <c r="E290" s="346" t="s">
        <v>285</v>
      </c>
      <c r="F290" s="346">
        <v>10.75</v>
      </c>
      <c r="G290" s="346" t="s">
        <v>725</v>
      </c>
      <c r="H290" s="346" t="s">
        <v>726</v>
      </c>
      <c r="I290" s="343"/>
    </row>
    <row r="291" spans="1:9" s="345" customFormat="1" ht="15">
      <c r="A291" s="339"/>
      <c r="B291" s="340" t="s">
        <v>841</v>
      </c>
      <c r="C291" s="341">
        <v>1.584</v>
      </c>
      <c r="D291" s="340" t="s">
        <v>724</v>
      </c>
      <c r="E291" s="346" t="s">
        <v>285</v>
      </c>
      <c r="F291" s="346">
        <v>10.75</v>
      </c>
      <c r="G291" s="346" t="s">
        <v>725</v>
      </c>
      <c r="H291" s="346" t="s">
        <v>726</v>
      </c>
      <c r="I291" s="343"/>
    </row>
    <row r="292" spans="1:9" s="345" customFormat="1" ht="30">
      <c r="A292" s="339"/>
      <c r="B292" s="340" t="s">
        <v>842</v>
      </c>
      <c r="C292" s="341">
        <v>6.291</v>
      </c>
      <c r="D292" s="340" t="s">
        <v>724</v>
      </c>
      <c r="E292" s="346" t="s">
        <v>285</v>
      </c>
      <c r="F292" s="346">
        <v>10.75</v>
      </c>
      <c r="G292" s="346" t="s">
        <v>725</v>
      </c>
      <c r="H292" s="346" t="s">
        <v>726</v>
      </c>
      <c r="I292" s="343"/>
    </row>
    <row r="293" spans="1:9" s="345" customFormat="1" ht="30">
      <c r="A293" s="339"/>
      <c r="B293" s="340" t="s">
        <v>843</v>
      </c>
      <c r="C293" s="341">
        <v>9.251999999999999</v>
      </c>
      <c r="D293" s="340" t="s">
        <v>724</v>
      </c>
      <c r="E293" s="346" t="s">
        <v>285</v>
      </c>
      <c r="F293" s="346">
        <v>10.75</v>
      </c>
      <c r="G293" s="346" t="s">
        <v>725</v>
      </c>
      <c r="H293" s="346" t="s">
        <v>726</v>
      </c>
      <c r="I293" s="343"/>
    </row>
    <row r="294" spans="1:9" s="345" customFormat="1" ht="30">
      <c r="A294" s="339"/>
      <c r="B294" s="340" t="s">
        <v>844</v>
      </c>
      <c r="C294" s="341">
        <v>4.212</v>
      </c>
      <c r="D294" s="340" t="s">
        <v>724</v>
      </c>
      <c r="E294" s="346" t="s">
        <v>285</v>
      </c>
      <c r="F294" s="346">
        <v>10.75</v>
      </c>
      <c r="G294" s="346" t="s">
        <v>725</v>
      </c>
      <c r="H294" s="346" t="s">
        <v>726</v>
      </c>
      <c r="I294" s="343"/>
    </row>
    <row r="295" spans="1:9" s="345" customFormat="1" ht="30">
      <c r="A295" s="339"/>
      <c r="B295" s="340" t="s">
        <v>806</v>
      </c>
      <c r="C295" s="341">
        <v>0.9450000000000001</v>
      </c>
      <c r="D295" s="340" t="s">
        <v>724</v>
      </c>
      <c r="E295" s="346" t="s">
        <v>285</v>
      </c>
      <c r="F295" s="346">
        <v>10.75</v>
      </c>
      <c r="G295" s="346" t="s">
        <v>725</v>
      </c>
      <c r="H295" s="346" t="s">
        <v>726</v>
      </c>
      <c r="I295" s="343"/>
    </row>
    <row r="296" spans="1:9" s="345" customFormat="1" ht="15">
      <c r="A296" s="339"/>
      <c r="B296" s="340" t="s">
        <v>807</v>
      </c>
      <c r="C296" s="341">
        <v>1.791</v>
      </c>
      <c r="D296" s="340" t="s">
        <v>724</v>
      </c>
      <c r="E296" s="346" t="s">
        <v>285</v>
      </c>
      <c r="F296" s="346">
        <v>10.75</v>
      </c>
      <c r="G296" s="346" t="s">
        <v>725</v>
      </c>
      <c r="H296" s="346" t="s">
        <v>726</v>
      </c>
      <c r="I296" s="343"/>
    </row>
    <row r="297" spans="1:9" s="345" customFormat="1" ht="30">
      <c r="A297" s="339"/>
      <c r="B297" s="340" t="s">
        <v>808</v>
      </c>
      <c r="C297" s="341">
        <v>0.738</v>
      </c>
      <c r="D297" s="340" t="s">
        <v>724</v>
      </c>
      <c r="E297" s="346" t="s">
        <v>285</v>
      </c>
      <c r="F297" s="346">
        <v>10.75</v>
      </c>
      <c r="G297" s="346" t="s">
        <v>725</v>
      </c>
      <c r="H297" s="346" t="s">
        <v>726</v>
      </c>
      <c r="I297" s="343"/>
    </row>
    <row r="298" spans="1:9" s="345" customFormat="1" ht="30">
      <c r="A298" s="339"/>
      <c r="B298" s="340" t="s">
        <v>809</v>
      </c>
      <c r="C298" s="341">
        <v>2.259</v>
      </c>
      <c r="D298" s="340" t="s">
        <v>724</v>
      </c>
      <c r="E298" s="346" t="s">
        <v>285</v>
      </c>
      <c r="F298" s="346">
        <v>10.75</v>
      </c>
      <c r="G298" s="346" t="s">
        <v>725</v>
      </c>
      <c r="H298" s="346" t="s">
        <v>726</v>
      </c>
      <c r="I298" s="343"/>
    </row>
    <row r="299" spans="1:9" s="345" customFormat="1" ht="30">
      <c r="A299" s="339"/>
      <c r="B299" s="340" t="s">
        <v>810</v>
      </c>
      <c r="C299" s="341">
        <v>0.405</v>
      </c>
      <c r="D299" s="340" t="s">
        <v>724</v>
      </c>
      <c r="E299" s="346" t="s">
        <v>285</v>
      </c>
      <c r="F299" s="346">
        <v>10.75</v>
      </c>
      <c r="G299" s="346" t="s">
        <v>725</v>
      </c>
      <c r="H299" s="346" t="s">
        <v>726</v>
      </c>
      <c r="I299" s="343"/>
    </row>
    <row r="300" spans="1:9" s="345" customFormat="1" ht="30">
      <c r="A300" s="339"/>
      <c r="B300" s="340" t="s">
        <v>766</v>
      </c>
      <c r="C300" s="341">
        <v>2.8890000000000002</v>
      </c>
      <c r="D300" s="340" t="s">
        <v>724</v>
      </c>
      <c r="E300" s="346" t="s">
        <v>285</v>
      </c>
      <c r="F300" s="346">
        <v>10.75</v>
      </c>
      <c r="G300" s="346" t="s">
        <v>725</v>
      </c>
      <c r="H300" s="346" t="s">
        <v>726</v>
      </c>
      <c r="I300" s="343"/>
    </row>
    <row r="301" spans="1:9" s="345" customFormat="1" ht="15">
      <c r="A301" s="339"/>
      <c r="B301" s="340" t="s">
        <v>812</v>
      </c>
      <c r="C301" s="341">
        <v>0.909</v>
      </c>
      <c r="D301" s="340" t="s">
        <v>724</v>
      </c>
      <c r="E301" s="346" t="s">
        <v>285</v>
      </c>
      <c r="F301" s="346">
        <v>10.75</v>
      </c>
      <c r="G301" s="346" t="s">
        <v>725</v>
      </c>
      <c r="H301" s="346" t="s">
        <v>726</v>
      </c>
      <c r="I301" s="343"/>
    </row>
    <row r="302" spans="1:9" s="345" customFormat="1" ht="15">
      <c r="A302" s="339"/>
      <c r="B302" s="340" t="s">
        <v>845</v>
      </c>
      <c r="C302" s="341">
        <v>14.553000000000003</v>
      </c>
      <c r="D302" s="340" t="s">
        <v>724</v>
      </c>
      <c r="E302" s="346" t="s">
        <v>285</v>
      </c>
      <c r="F302" s="346">
        <v>10.75</v>
      </c>
      <c r="G302" s="346" t="s">
        <v>725</v>
      </c>
      <c r="H302" s="346" t="s">
        <v>726</v>
      </c>
      <c r="I302" s="343"/>
    </row>
    <row r="303" spans="1:9" s="345" customFormat="1" ht="15">
      <c r="A303" s="339"/>
      <c r="B303" s="340" t="s">
        <v>846</v>
      </c>
      <c r="C303" s="341">
        <v>36.018</v>
      </c>
      <c r="D303" s="340" t="s">
        <v>724</v>
      </c>
      <c r="E303" s="346" t="s">
        <v>285</v>
      </c>
      <c r="F303" s="346">
        <v>10.75</v>
      </c>
      <c r="G303" s="346" t="s">
        <v>725</v>
      </c>
      <c r="H303" s="346" t="s">
        <v>726</v>
      </c>
      <c r="I303" s="343"/>
    </row>
    <row r="304" spans="1:9" s="345" customFormat="1" ht="15">
      <c r="A304" s="339"/>
      <c r="B304" s="340" t="s">
        <v>815</v>
      </c>
      <c r="C304" s="341">
        <v>36.018</v>
      </c>
      <c r="D304" s="340" t="s">
        <v>724</v>
      </c>
      <c r="E304" s="346" t="s">
        <v>285</v>
      </c>
      <c r="F304" s="346">
        <v>10.75</v>
      </c>
      <c r="G304" s="346" t="s">
        <v>725</v>
      </c>
      <c r="H304" s="346" t="s">
        <v>726</v>
      </c>
      <c r="I304" s="343"/>
    </row>
    <row r="305" spans="1:9" s="345" customFormat="1" ht="15">
      <c r="A305" s="339"/>
      <c r="B305" s="340" t="s">
        <v>847</v>
      </c>
      <c r="C305" s="341">
        <v>0.29700000000000004</v>
      </c>
      <c r="D305" s="340" t="s">
        <v>724</v>
      </c>
      <c r="E305" s="346" t="s">
        <v>285</v>
      </c>
      <c r="F305" s="346">
        <v>10.75</v>
      </c>
      <c r="G305" s="346" t="s">
        <v>725</v>
      </c>
      <c r="H305" s="346" t="s">
        <v>726</v>
      </c>
      <c r="I305" s="343"/>
    </row>
    <row r="306" spans="1:9" s="345" customFormat="1" ht="15">
      <c r="A306" s="339"/>
      <c r="B306" s="340" t="s">
        <v>769</v>
      </c>
      <c r="C306" s="341">
        <v>0.6120000000000001</v>
      </c>
      <c r="D306" s="340" t="s">
        <v>724</v>
      </c>
      <c r="E306" s="346" t="s">
        <v>285</v>
      </c>
      <c r="F306" s="346">
        <v>10.75</v>
      </c>
      <c r="G306" s="346" t="s">
        <v>725</v>
      </c>
      <c r="H306" s="346" t="s">
        <v>726</v>
      </c>
      <c r="I306" s="343"/>
    </row>
    <row r="307" spans="1:9" s="345" customFormat="1" ht="15">
      <c r="A307" s="339"/>
      <c r="B307" s="340" t="s">
        <v>770</v>
      </c>
      <c r="C307" s="341">
        <v>0.48600000000000004</v>
      </c>
      <c r="D307" s="340" t="s">
        <v>724</v>
      </c>
      <c r="E307" s="346" t="s">
        <v>285</v>
      </c>
      <c r="F307" s="346">
        <v>10.75</v>
      </c>
      <c r="G307" s="346" t="s">
        <v>725</v>
      </c>
      <c r="H307" s="346" t="s">
        <v>726</v>
      </c>
      <c r="I307" s="343"/>
    </row>
    <row r="308" spans="1:9" s="345" customFormat="1" ht="15">
      <c r="A308" s="339"/>
      <c r="B308" s="340" t="s">
        <v>848</v>
      </c>
      <c r="C308" s="341">
        <v>3.9600000000000004</v>
      </c>
      <c r="D308" s="340" t="s">
        <v>724</v>
      </c>
      <c r="E308" s="346" t="s">
        <v>285</v>
      </c>
      <c r="F308" s="346">
        <v>10.75</v>
      </c>
      <c r="G308" s="346" t="s">
        <v>725</v>
      </c>
      <c r="H308" s="346" t="s">
        <v>726</v>
      </c>
      <c r="I308" s="343"/>
    </row>
    <row r="309" spans="1:9" s="345" customFormat="1" ht="15">
      <c r="A309" s="339"/>
      <c r="B309" s="340" t="s">
        <v>849</v>
      </c>
      <c r="C309" s="341">
        <v>3.825</v>
      </c>
      <c r="D309" s="340" t="s">
        <v>724</v>
      </c>
      <c r="E309" s="346" t="s">
        <v>285</v>
      </c>
      <c r="F309" s="346">
        <v>10.75</v>
      </c>
      <c r="G309" s="346" t="s">
        <v>725</v>
      </c>
      <c r="H309" s="346" t="s">
        <v>726</v>
      </c>
      <c r="I309" s="343"/>
    </row>
    <row r="310" spans="1:9" s="345" customFormat="1" ht="15">
      <c r="A310" s="339"/>
      <c r="B310" s="340" t="s">
        <v>850</v>
      </c>
      <c r="C310" s="341">
        <v>2.7</v>
      </c>
      <c r="D310" s="340" t="s">
        <v>724</v>
      </c>
      <c r="E310" s="346" t="s">
        <v>285</v>
      </c>
      <c r="F310" s="346">
        <v>10.75</v>
      </c>
      <c r="G310" s="346" t="s">
        <v>725</v>
      </c>
      <c r="H310" s="346" t="s">
        <v>726</v>
      </c>
      <c r="I310" s="343"/>
    </row>
    <row r="311" spans="1:9" s="345" customFormat="1" ht="15">
      <c r="A311" s="339"/>
      <c r="B311" s="340" t="s">
        <v>851</v>
      </c>
      <c r="C311" s="341">
        <v>8.1</v>
      </c>
      <c r="D311" s="340" t="s">
        <v>724</v>
      </c>
      <c r="E311" s="346" t="s">
        <v>285</v>
      </c>
      <c r="F311" s="346">
        <v>10.75</v>
      </c>
      <c r="G311" s="346" t="s">
        <v>725</v>
      </c>
      <c r="H311" s="346" t="s">
        <v>726</v>
      </c>
      <c r="I311" s="343"/>
    </row>
    <row r="312" spans="1:9" s="345" customFormat="1" ht="15">
      <c r="A312" s="339"/>
      <c r="B312" s="340" t="s">
        <v>825</v>
      </c>
      <c r="C312" s="341">
        <v>7.2</v>
      </c>
      <c r="D312" s="340" t="s">
        <v>724</v>
      </c>
      <c r="E312" s="346" t="s">
        <v>285</v>
      </c>
      <c r="F312" s="346">
        <v>10.75</v>
      </c>
      <c r="G312" s="346" t="s">
        <v>725</v>
      </c>
      <c r="H312" s="346" t="s">
        <v>726</v>
      </c>
      <c r="I312" s="343"/>
    </row>
    <row r="313" spans="1:9" s="345" customFormat="1" ht="30">
      <c r="A313" s="339"/>
      <c r="B313" s="340" t="s">
        <v>852</v>
      </c>
      <c r="C313" s="341">
        <v>4.95</v>
      </c>
      <c r="D313" s="340" t="s">
        <v>724</v>
      </c>
      <c r="E313" s="346" t="s">
        <v>285</v>
      </c>
      <c r="F313" s="346">
        <v>10.75</v>
      </c>
      <c r="G313" s="346" t="s">
        <v>725</v>
      </c>
      <c r="H313" s="346" t="s">
        <v>726</v>
      </c>
      <c r="I313" s="343"/>
    </row>
    <row r="314" spans="1:9" s="345" customFormat="1" ht="15">
      <c r="A314" s="339"/>
      <c r="B314" s="355" t="s">
        <v>853</v>
      </c>
      <c r="C314" s="341">
        <v>95.10300000000001</v>
      </c>
      <c r="D314" s="355" t="s">
        <v>688</v>
      </c>
      <c r="E314" s="343" t="s">
        <v>285</v>
      </c>
      <c r="F314" s="346">
        <v>10.75</v>
      </c>
      <c r="G314" s="346" t="s">
        <v>725</v>
      </c>
      <c r="H314" s="346" t="s">
        <v>726</v>
      </c>
      <c r="I314" s="343"/>
    </row>
    <row r="315" spans="1:9" s="345" customFormat="1" ht="15">
      <c r="A315" s="339"/>
      <c r="B315" s="357" t="s">
        <v>102</v>
      </c>
      <c r="C315" s="358">
        <f>SUM(C246:C314)</f>
        <v>2751.163178</v>
      </c>
      <c r="D315" s="359"/>
      <c r="E315" s="359"/>
      <c r="F315" s="359"/>
      <c r="G315" s="359"/>
      <c r="H315" s="359"/>
      <c r="I315" s="359"/>
    </row>
    <row r="316" spans="1:9" s="345" customFormat="1" ht="15">
      <c r="A316" s="339"/>
      <c r="B316" s="361"/>
      <c r="C316" s="362"/>
      <c r="D316" s="361"/>
      <c r="E316" s="361"/>
      <c r="F316" s="361"/>
      <c r="G316" s="361"/>
      <c r="H316" s="361"/>
      <c r="I316" s="361"/>
    </row>
    <row r="317" spans="1:9" s="345" customFormat="1" ht="15">
      <c r="A317" s="339"/>
      <c r="B317" s="361"/>
      <c r="C317" s="362"/>
      <c r="D317" s="361"/>
      <c r="E317" s="361"/>
      <c r="F317" s="361"/>
      <c r="G317" s="361"/>
      <c r="H317" s="361"/>
      <c r="I317" s="361"/>
    </row>
    <row r="318" spans="1:9" s="345" customFormat="1" ht="15">
      <c r="A318" s="339"/>
      <c r="B318" s="331" t="s">
        <v>479</v>
      </c>
      <c r="C318" s="332"/>
      <c r="D318" s="363"/>
      <c r="E318" s="364"/>
      <c r="F318" s="363"/>
      <c r="G318" s="365" t="s">
        <v>251</v>
      </c>
      <c r="H318" s="363"/>
      <c r="I318" s="363"/>
    </row>
    <row r="319" spans="1:9" s="345" customFormat="1" ht="42.75">
      <c r="A319" s="339"/>
      <c r="B319" s="335" t="s">
        <v>0</v>
      </c>
      <c r="C319" s="336" t="s">
        <v>204</v>
      </c>
      <c r="D319" s="337" t="s">
        <v>365</v>
      </c>
      <c r="E319" s="337" t="s">
        <v>366</v>
      </c>
      <c r="F319" s="337" t="s">
        <v>367</v>
      </c>
      <c r="G319" s="337" t="s">
        <v>368</v>
      </c>
      <c r="H319" s="338" t="s">
        <v>369</v>
      </c>
      <c r="I319" s="337" t="s">
        <v>107</v>
      </c>
    </row>
    <row r="320" spans="1:9" s="345" customFormat="1" ht="15">
      <c r="A320" s="339" t="s">
        <v>650</v>
      </c>
      <c r="B320" s="340" t="s">
        <v>668</v>
      </c>
      <c r="C320" s="341">
        <v>108</v>
      </c>
      <c r="D320" s="342" t="s">
        <v>652</v>
      </c>
      <c r="E320" s="341" t="s">
        <v>669</v>
      </c>
      <c r="F320" s="367"/>
      <c r="G320" s="367"/>
      <c r="H320" s="368"/>
      <c r="I320" s="367"/>
    </row>
    <row r="321" spans="1:9" s="345" customFormat="1" ht="15">
      <c r="A321" s="339"/>
      <c r="B321" s="340" t="s">
        <v>734</v>
      </c>
      <c r="C321" s="341">
        <v>0</v>
      </c>
      <c r="D321" s="342" t="s">
        <v>652</v>
      </c>
      <c r="E321" s="346" t="s">
        <v>285</v>
      </c>
      <c r="F321" s="367"/>
      <c r="G321" s="367"/>
      <c r="H321" s="368"/>
      <c r="I321" s="367"/>
    </row>
    <row r="322" spans="1:9" s="345" customFormat="1" ht="15">
      <c r="A322" s="339"/>
      <c r="B322" s="350" t="s">
        <v>675</v>
      </c>
      <c r="C322" s="341">
        <v>90</v>
      </c>
      <c r="D322" s="342" t="s">
        <v>652</v>
      </c>
      <c r="E322" s="346" t="s">
        <v>285</v>
      </c>
      <c r="F322" s="367"/>
      <c r="G322" s="367"/>
      <c r="H322" s="368"/>
      <c r="I322" s="367"/>
    </row>
    <row r="323" spans="1:9" s="345" customFormat="1" ht="30">
      <c r="A323" s="339"/>
      <c r="B323" s="340" t="s">
        <v>679</v>
      </c>
      <c r="C323" s="341">
        <v>48.6</v>
      </c>
      <c r="D323" s="399" t="s">
        <v>663</v>
      </c>
      <c r="E323" s="346" t="s">
        <v>285</v>
      </c>
      <c r="F323" s="367"/>
      <c r="G323" s="367"/>
      <c r="H323" s="368"/>
      <c r="I323" s="367"/>
    </row>
    <row r="324" spans="1:9" s="345" customFormat="1" ht="30">
      <c r="A324" s="339"/>
      <c r="B324" s="340" t="s">
        <v>680</v>
      </c>
      <c r="C324" s="341">
        <v>162</v>
      </c>
      <c r="D324" s="399" t="s">
        <v>663</v>
      </c>
      <c r="E324" s="346" t="s">
        <v>285</v>
      </c>
      <c r="F324" s="367"/>
      <c r="G324" s="367"/>
      <c r="H324" s="368"/>
      <c r="I324" s="367"/>
    </row>
    <row r="325" spans="1:9" s="345" customFormat="1" ht="30">
      <c r="A325" s="339"/>
      <c r="B325" s="340" t="s">
        <v>854</v>
      </c>
      <c r="C325" s="341">
        <v>54.423</v>
      </c>
      <c r="D325" s="399" t="s">
        <v>663</v>
      </c>
      <c r="E325" s="346" t="s">
        <v>285</v>
      </c>
      <c r="F325" s="367"/>
      <c r="G325" s="367"/>
      <c r="H325" s="368"/>
      <c r="I325" s="367"/>
    </row>
    <row r="326" spans="1:9" s="345" customFormat="1" ht="30">
      <c r="A326" s="339"/>
      <c r="B326" s="340" t="s">
        <v>683</v>
      </c>
      <c r="C326" s="341">
        <v>90</v>
      </c>
      <c r="D326" s="342" t="s">
        <v>652</v>
      </c>
      <c r="E326" s="346" t="s">
        <v>285</v>
      </c>
      <c r="F326" s="367"/>
      <c r="G326" s="367"/>
      <c r="H326" s="368"/>
      <c r="I326" s="367"/>
    </row>
    <row r="327" spans="1:9" s="345" customFormat="1" ht="15">
      <c r="A327" s="339"/>
      <c r="B327" s="340" t="s">
        <v>736</v>
      </c>
      <c r="C327" s="341">
        <v>58.5</v>
      </c>
      <c r="D327" s="342" t="s">
        <v>652</v>
      </c>
      <c r="E327" s="346" t="s">
        <v>285</v>
      </c>
      <c r="F327" s="367"/>
      <c r="G327" s="367"/>
      <c r="H327" s="368"/>
      <c r="I327" s="367"/>
    </row>
    <row r="328" spans="1:9" s="345" customFormat="1" ht="15">
      <c r="A328" s="339"/>
      <c r="B328" s="340" t="s">
        <v>685</v>
      </c>
      <c r="C328" s="341">
        <v>81</v>
      </c>
      <c r="D328" s="342" t="s">
        <v>652</v>
      </c>
      <c r="E328" s="346" t="s">
        <v>285</v>
      </c>
      <c r="F328" s="367"/>
      <c r="G328" s="367"/>
      <c r="H328" s="368"/>
      <c r="I328" s="367"/>
    </row>
    <row r="329" spans="1:9" s="345" customFormat="1" ht="30">
      <c r="A329" s="339"/>
      <c r="B329" s="340" t="s">
        <v>737</v>
      </c>
      <c r="C329" s="341">
        <v>24.3</v>
      </c>
      <c r="D329" s="342" t="s">
        <v>655</v>
      </c>
      <c r="E329" s="346" t="s">
        <v>285</v>
      </c>
      <c r="F329" s="367"/>
      <c r="G329" s="367"/>
      <c r="H329" s="368"/>
      <c r="I329" s="367"/>
    </row>
    <row r="330" spans="1:9" s="345" customFormat="1" ht="30">
      <c r="A330" s="339"/>
      <c r="B330" s="350" t="s">
        <v>739</v>
      </c>
      <c r="C330" s="341">
        <v>99</v>
      </c>
      <c r="D330" s="342" t="s">
        <v>740</v>
      </c>
      <c r="E330" s="346" t="s">
        <v>285</v>
      </c>
      <c r="F330" s="367"/>
      <c r="G330" s="367"/>
      <c r="H330" s="368"/>
      <c r="I330" s="367"/>
    </row>
    <row r="331" spans="1:9" s="345" customFormat="1" ht="15">
      <c r="A331" s="339"/>
      <c r="B331" s="350" t="s">
        <v>829</v>
      </c>
      <c r="C331" s="341">
        <v>9</v>
      </c>
      <c r="D331" s="342" t="s">
        <v>617</v>
      </c>
      <c r="E331" s="401">
        <v>0</v>
      </c>
      <c r="F331" s="367"/>
      <c r="G331" s="367"/>
      <c r="H331" s="368"/>
      <c r="I331" s="367"/>
    </row>
    <row r="332" spans="1:9" s="345" customFormat="1" ht="15">
      <c r="A332" s="339" t="s">
        <v>686</v>
      </c>
      <c r="B332" s="371" t="s">
        <v>839</v>
      </c>
      <c r="C332" s="351">
        <v>42.062400000000004</v>
      </c>
      <c r="D332" s="344" t="s">
        <v>688</v>
      </c>
      <c r="E332" s="352" t="s">
        <v>285</v>
      </c>
      <c r="F332" s="352">
        <v>10.5</v>
      </c>
      <c r="G332" s="352" t="s">
        <v>689</v>
      </c>
      <c r="H332" s="352" t="s">
        <v>690</v>
      </c>
      <c r="I332" s="343"/>
    </row>
    <row r="333" spans="1:9" s="345" customFormat="1" ht="15">
      <c r="A333" s="339"/>
      <c r="B333" s="371" t="s">
        <v>855</v>
      </c>
      <c r="C333" s="351">
        <v>9.7623</v>
      </c>
      <c r="D333" s="344" t="s">
        <v>688</v>
      </c>
      <c r="E333" s="352" t="s">
        <v>285</v>
      </c>
      <c r="F333" s="352">
        <v>10.2</v>
      </c>
      <c r="G333" s="352" t="s">
        <v>689</v>
      </c>
      <c r="H333" s="352" t="s">
        <v>690</v>
      </c>
      <c r="I333" s="343"/>
    </row>
    <row r="334" spans="1:9" s="345" customFormat="1" ht="15">
      <c r="A334" s="339"/>
      <c r="B334" s="371" t="s">
        <v>856</v>
      </c>
      <c r="C334" s="351">
        <v>6.843600000000001</v>
      </c>
      <c r="D334" s="344" t="s">
        <v>688</v>
      </c>
      <c r="E334" s="341" t="s">
        <v>285</v>
      </c>
      <c r="F334" s="352">
        <v>10.5</v>
      </c>
      <c r="G334" s="352" t="s">
        <v>689</v>
      </c>
      <c r="H334" s="352" t="s">
        <v>690</v>
      </c>
      <c r="I334" s="343"/>
    </row>
    <row r="335" spans="1:9" s="345" customFormat="1" ht="15">
      <c r="A335" s="339"/>
      <c r="B335" s="402" t="s">
        <v>857</v>
      </c>
      <c r="C335" s="351">
        <v>6.843600000000001</v>
      </c>
      <c r="D335" s="344" t="s">
        <v>688</v>
      </c>
      <c r="E335" s="341" t="s">
        <v>285</v>
      </c>
      <c r="F335" s="352">
        <v>10.5</v>
      </c>
      <c r="G335" s="352" t="s">
        <v>689</v>
      </c>
      <c r="H335" s="352" t="s">
        <v>690</v>
      </c>
      <c r="I335" s="343"/>
    </row>
    <row r="336" spans="1:9" s="345" customFormat="1" ht="15">
      <c r="A336" s="339"/>
      <c r="B336" s="403" t="s">
        <v>858</v>
      </c>
      <c r="C336" s="351">
        <v>11.343600000000002</v>
      </c>
      <c r="D336" s="344" t="s">
        <v>688</v>
      </c>
      <c r="E336" s="341" t="s">
        <v>285</v>
      </c>
      <c r="F336" s="352">
        <v>10.5</v>
      </c>
      <c r="G336" s="352" t="s">
        <v>689</v>
      </c>
      <c r="H336" s="352" t="s">
        <v>690</v>
      </c>
      <c r="I336" s="343"/>
    </row>
    <row r="337" spans="1:9" s="345" customFormat="1" ht="15">
      <c r="A337" s="339"/>
      <c r="B337" s="371" t="s">
        <v>831</v>
      </c>
      <c r="C337" s="351">
        <v>87.51707999999999</v>
      </c>
      <c r="D337" s="344" t="s">
        <v>688</v>
      </c>
      <c r="E337" s="404" t="s">
        <v>285</v>
      </c>
      <c r="F337" s="341">
        <v>10.5</v>
      </c>
      <c r="G337" s="352" t="s">
        <v>859</v>
      </c>
      <c r="H337" s="352" t="s">
        <v>690</v>
      </c>
      <c r="I337" s="343"/>
    </row>
    <row r="338" spans="1:9" s="345" customFormat="1" ht="15">
      <c r="A338" s="339"/>
      <c r="B338" s="405" t="s">
        <v>860</v>
      </c>
      <c r="C338" s="351">
        <v>29.754</v>
      </c>
      <c r="D338" s="344" t="s">
        <v>688</v>
      </c>
      <c r="E338" s="346" t="s">
        <v>285</v>
      </c>
      <c r="F338" s="352">
        <v>10.5</v>
      </c>
      <c r="G338" s="352" t="s">
        <v>689</v>
      </c>
      <c r="H338" s="352" t="s">
        <v>690</v>
      </c>
      <c r="I338" s="343"/>
    </row>
    <row r="339" spans="1:9" s="345" customFormat="1" ht="15">
      <c r="A339" s="339"/>
      <c r="B339" s="405" t="s">
        <v>861</v>
      </c>
      <c r="C339" s="351">
        <v>29.754</v>
      </c>
      <c r="D339" s="344" t="s">
        <v>688</v>
      </c>
      <c r="E339" s="346" t="s">
        <v>285</v>
      </c>
      <c r="F339" s="352">
        <v>10.5</v>
      </c>
      <c r="G339" s="352" t="s">
        <v>689</v>
      </c>
      <c r="H339" s="352" t="s">
        <v>690</v>
      </c>
      <c r="I339" s="343"/>
    </row>
    <row r="340" spans="1:9" s="345" customFormat="1" ht="15">
      <c r="A340" s="339"/>
      <c r="B340" s="405" t="s">
        <v>862</v>
      </c>
      <c r="C340" s="351">
        <v>29.754</v>
      </c>
      <c r="D340" s="344" t="s">
        <v>688</v>
      </c>
      <c r="E340" s="346" t="s">
        <v>285</v>
      </c>
      <c r="F340" s="352">
        <v>10.5</v>
      </c>
      <c r="G340" s="352" t="s">
        <v>689</v>
      </c>
      <c r="H340" s="352" t="s">
        <v>690</v>
      </c>
      <c r="I340" s="343"/>
    </row>
    <row r="341" spans="1:9" s="345" customFormat="1" ht="15">
      <c r="A341" s="339"/>
      <c r="B341" s="405" t="s">
        <v>863</v>
      </c>
      <c r="C341" s="351">
        <v>29.754</v>
      </c>
      <c r="D341" s="344" t="s">
        <v>688</v>
      </c>
      <c r="E341" s="346" t="s">
        <v>285</v>
      </c>
      <c r="F341" s="352">
        <v>10.5</v>
      </c>
      <c r="G341" s="352" t="s">
        <v>689</v>
      </c>
      <c r="H341" s="352" t="s">
        <v>690</v>
      </c>
      <c r="I341" s="343"/>
    </row>
    <row r="342" spans="1:9" s="345" customFormat="1" ht="15">
      <c r="A342" s="339"/>
      <c r="B342" s="405" t="s">
        <v>864</v>
      </c>
      <c r="C342" s="351">
        <v>29.754</v>
      </c>
      <c r="D342" s="344" t="s">
        <v>688</v>
      </c>
      <c r="E342" s="346" t="s">
        <v>285</v>
      </c>
      <c r="F342" s="352">
        <v>10.5</v>
      </c>
      <c r="G342" s="352" t="s">
        <v>689</v>
      </c>
      <c r="H342" s="352" t="s">
        <v>690</v>
      </c>
      <c r="I342" s="343"/>
    </row>
    <row r="343" spans="1:9" s="345" customFormat="1" ht="15">
      <c r="A343" s="339"/>
      <c r="B343" s="406" t="s">
        <v>865</v>
      </c>
      <c r="C343" s="351">
        <v>29.754</v>
      </c>
      <c r="D343" s="344" t="s">
        <v>688</v>
      </c>
      <c r="E343" s="346" t="s">
        <v>285</v>
      </c>
      <c r="F343" s="352">
        <v>10.5</v>
      </c>
      <c r="G343" s="352" t="s">
        <v>689</v>
      </c>
      <c r="H343" s="352" t="s">
        <v>690</v>
      </c>
      <c r="I343" s="343"/>
    </row>
    <row r="344" spans="1:9" s="345" customFormat="1" ht="15">
      <c r="A344" s="339"/>
      <c r="B344" s="406" t="s">
        <v>866</v>
      </c>
      <c r="C344" s="351">
        <v>29.754</v>
      </c>
      <c r="D344" s="344" t="s">
        <v>688</v>
      </c>
      <c r="E344" s="346" t="s">
        <v>285</v>
      </c>
      <c r="F344" s="352">
        <v>10.5</v>
      </c>
      <c r="G344" s="352" t="s">
        <v>689</v>
      </c>
      <c r="H344" s="352" t="s">
        <v>690</v>
      </c>
      <c r="I344" s="343"/>
    </row>
    <row r="345" spans="1:9" s="345" customFormat="1" ht="15">
      <c r="A345" s="339"/>
      <c r="B345" s="407" t="s">
        <v>867</v>
      </c>
      <c r="C345" s="351">
        <v>29.754</v>
      </c>
      <c r="D345" s="344" t="s">
        <v>688</v>
      </c>
      <c r="E345" s="346" t="s">
        <v>285</v>
      </c>
      <c r="F345" s="352">
        <v>10.5</v>
      </c>
      <c r="G345" s="352" t="s">
        <v>689</v>
      </c>
      <c r="H345" s="352" t="s">
        <v>690</v>
      </c>
      <c r="I345" s="343"/>
    </row>
    <row r="346" spans="1:9" s="345" customFormat="1" ht="15">
      <c r="A346" s="339"/>
      <c r="B346" s="405" t="s">
        <v>868</v>
      </c>
      <c r="C346" s="351">
        <v>29.754</v>
      </c>
      <c r="D346" s="344" t="s">
        <v>688</v>
      </c>
      <c r="E346" s="346" t="s">
        <v>285</v>
      </c>
      <c r="F346" s="352">
        <v>10.5</v>
      </c>
      <c r="G346" s="352" t="s">
        <v>689</v>
      </c>
      <c r="H346" s="352" t="s">
        <v>690</v>
      </c>
      <c r="I346" s="343"/>
    </row>
    <row r="347" spans="1:9" s="345" customFormat="1" ht="15">
      <c r="A347" s="339"/>
      <c r="B347" s="373" t="s">
        <v>869</v>
      </c>
      <c r="C347" s="351">
        <v>29.754</v>
      </c>
      <c r="D347" s="344" t="s">
        <v>688</v>
      </c>
      <c r="E347" s="346" t="s">
        <v>285</v>
      </c>
      <c r="F347" s="352">
        <v>10.5</v>
      </c>
      <c r="G347" s="352" t="s">
        <v>689</v>
      </c>
      <c r="H347" s="352" t="s">
        <v>690</v>
      </c>
      <c r="I347" s="343"/>
    </row>
    <row r="348" spans="1:9" s="345" customFormat="1" ht="15">
      <c r="A348" s="339"/>
      <c r="B348" s="405" t="s">
        <v>870</v>
      </c>
      <c r="C348" s="351">
        <v>29.754</v>
      </c>
      <c r="D348" s="344" t="s">
        <v>688</v>
      </c>
      <c r="E348" s="346" t="s">
        <v>285</v>
      </c>
      <c r="F348" s="352">
        <v>10.5</v>
      </c>
      <c r="G348" s="352" t="s">
        <v>689</v>
      </c>
      <c r="H348" s="352" t="s">
        <v>690</v>
      </c>
      <c r="I348" s="343"/>
    </row>
    <row r="349" spans="1:9" s="345" customFormat="1" ht="15">
      <c r="A349" s="339"/>
      <c r="B349" s="408" t="s">
        <v>871</v>
      </c>
      <c r="C349" s="351">
        <v>172.0755</v>
      </c>
      <c r="D349" s="344" t="s">
        <v>688</v>
      </c>
      <c r="E349" s="346" t="s">
        <v>285</v>
      </c>
      <c r="F349" s="352">
        <v>10.5</v>
      </c>
      <c r="G349" s="352" t="s">
        <v>689</v>
      </c>
      <c r="H349" s="352" t="s">
        <v>690</v>
      </c>
      <c r="I349" s="343"/>
    </row>
    <row r="350" spans="1:9" s="345" customFormat="1" ht="15">
      <c r="A350" s="339"/>
      <c r="B350" s="406" t="s">
        <v>872</v>
      </c>
      <c r="C350" s="351">
        <v>29.343600000000002</v>
      </c>
      <c r="D350" s="344" t="s">
        <v>688</v>
      </c>
      <c r="E350" s="341" t="s">
        <v>285</v>
      </c>
      <c r="F350" s="352">
        <v>10.5</v>
      </c>
      <c r="G350" s="352" t="s">
        <v>689</v>
      </c>
      <c r="H350" s="352" t="s">
        <v>690</v>
      </c>
      <c r="I350" s="343"/>
    </row>
    <row r="351" spans="1:9" s="345" customFormat="1" ht="15">
      <c r="A351" s="339"/>
      <c r="B351" s="403" t="s">
        <v>873</v>
      </c>
      <c r="C351" s="351">
        <v>29.754</v>
      </c>
      <c r="D351" s="344" t="s">
        <v>688</v>
      </c>
      <c r="E351" s="346" t="s">
        <v>285</v>
      </c>
      <c r="F351" s="352">
        <v>10.5</v>
      </c>
      <c r="G351" s="352" t="s">
        <v>689</v>
      </c>
      <c r="H351" s="352" t="s">
        <v>690</v>
      </c>
      <c r="I351" s="343"/>
    </row>
    <row r="352" spans="1:9" s="345" customFormat="1" ht="15">
      <c r="A352" s="339"/>
      <c r="B352" s="406" t="s">
        <v>874</v>
      </c>
      <c r="C352" s="351">
        <v>29.754</v>
      </c>
      <c r="D352" s="344" t="s">
        <v>688</v>
      </c>
      <c r="E352" s="346" t="s">
        <v>285</v>
      </c>
      <c r="F352" s="352">
        <v>10.5</v>
      </c>
      <c r="G352" s="352" t="s">
        <v>689</v>
      </c>
      <c r="H352" s="352" t="s">
        <v>690</v>
      </c>
      <c r="I352" s="343"/>
    </row>
    <row r="353" spans="1:9" s="345" customFormat="1" ht="15">
      <c r="A353" s="339"/>
      <c r="B353" s="372" t="s">
        <v>875</v>
      </c>
      <c r="C353" s="351">
        <v>29.754</v>
      </c>
      <c r="D353" s="344" t="s">
        <v>688</v>
      </c>
      <c r="E353" s="346" t="s">
        <v>285</v>
      </c>
      <c r="F353" s="352">
        <v>10.5</v>
      </c>
      <c r="G353" s="352" t="s">
        <v>689</v>
      </c>
      <c r="H353" s="352" t="s">
        <v>690</v>
      </c>
      <c r="I353" s="343"/>
    </row>
    <row r="354" spans="1:9" s="345" customFormat="1" ht="15">
      <c r="A354" s="339"/>
      <c r="B354" s="371" t="s">
        <v>876</v>
      </c>
      <c r="C354" s="351">
        <v>172.0755</v>
      </c>
      <c r="D354" s="344" t="s">
        <v>688</v>
      </c>
      <c r="E354" s="346" t="s">
        <v>285</v>
      </c>
      <c r="F354" s="352">
        <v>10.5</v>
      </c>
      <c r="G354" s="352" t="s">
        <v>689</v>
      </c>
      <c r="H354" s="352" t="s">
        <v>690</v>
      </c>
      <c r="I354" s="343"/>
    </row>
    <row r="355" spans="1:9" s="345" customFormat="1" ht="15">
      <c r="A355" s="339"/>
      <c r="B355" s="371" t="s">
        <v>832</v>
      </c>
      <c r="C355" s="351">
        <v>23.423688000000002</v>
      </c>
      <c r="D355" s="344" t="s">
        <v>688</v>
      </c>
      <c r="E355" s="341" t="s">
        <v>285</v>
      </c>
      <c r="F355" s="352">
        <v>10.5</v>
      </c>
      <c r="G355" s="353" t="s">
        <v>689</v>
      </c>
      <c r="H355" s="354" t="s">
        <v>690</v>
      </c>
      <c r="I355" s="343"/>
    </row>
    <row r="356" spans="1:9" s="345" customFormat="1" ht="15">
      <c r="A356" s="339"/>
      <c r="B356" s="371" t="s">
        <v>877</v>
      </c>
      <c r="C356" s="351">
        <v>177.75648</v>
      </c>
      <c r="D356" s="344" t="s">
        <v>688</v>
      </c>
      <c r="E356" s="352" t="s">
        <v>285</v>
      </c>
      <c r="F356" s="352">
        <v>10.5</v>
      </c>
      <c r="G356" s="353" t="s">
        <v>689</v>
      </c>
      <c r="H356" s="354" t="s">
        <v>690</v>
      </c>
      <c r="I356" s="343"/>
    </row>
    <row r="357" spans="1:9" s="345" customFormat="1" ht="15">
      <c r="A357" s="339"/>
      <c r="B357" s="371" t="s">
        <v>834</v>
      </c>
      <c r="C357" s="351">
        <v>16.385025</v>
      </c>
      <c r="D357" s="344" t="s">
        <v>688</v>
      </c>
      <c r="E357" s="352" t="s">
        <v>286</v>
      </c>
      <c r="F357" s="352">
        <v>10.4</v>
      </c>
      <c r="G357" s="352" t="s">
        <v>689</v>
      </c>
      <c r="H357" s="352" t="s">
        <v>690</v>
      </c>
      <c r="I357" s="343"/>
    </row>
    <row r="358" spans="1:9" s="345" customFormat="1" ht="15">
      <c r="A358" s="339"/>
      <c r="B358" s="371" t="s">
        <v>835</v>
      </c>
      <c r="C358" s="351">
        <v>24.430400000000006</v>
      </c>
      <c r="D358" s="344" t="s">
        <v>688</v>
      </c>
      <c r="E358" s="352" t="s">
        <v>836</v>
      </c>
      <c r="F358" s="352">
        <v>10.4</v>
      </c>
      <c r="G358" s="353" t="s">
        <v>693</v>
      </c>
      <c r="H358" s="354" t="s">
        <v>690</v>
      </c>
      <c r="I358" s="343"/>
    </row>
    <row r="359" spans="1:9" s="345" customFormat="1" ht="15">
      <c r="A359" s="339"/>
      <c r="B359" s="371" t="s">
        <v>837</v>
      </c>
      <c r="C359" s="351">
        <v>30.3624</v>
      </c>
      <c r="D359" s="344" t="s">
        <v>688</v>
      </c>
      <c r="E359" s="352" t="s">
        <v>285</v>
      </c>
      <c r="F359" s="341">
        <v>9.8</v>
      </c>
      <c r="G359" s="353" t="s">
        <v>689</v>
      </c>
      <c r="H359" s="354" t="s">
        <v>690</v>
      </c>
      <c r="I359" s="343"/>
    </row>
    <row r="360" spans="1:9" s="345" customFormat="1" ht="15">
      <c r="A360" s="339"/>
      <c r="B360" s="403" t="s">
        <v>878</v>
      </c>
      <c r="C360" s="351">
        <v>29.754</v>
      </c>
      <c r="D360" s="344" t="s">
        <v>688</v>
      </c>
      <c r="E360" s="346" t="s">
        <v>285</v>
      </c>
      <c r="F360" s="352">
        <v>10.5</v>
      </c>
      <c r="G360" s="352" t="s">
        <v>689</v>
      </c>
      <c r="H360" s="352" t="s">
        <v>690</v>
      </c>
      <c r="I360" s="343"/>
    </row>
    <row r="361" spans="1:9" s="345" customFormat="1" ht="15">
      <c r="A361" s="339"/>
      <c r="B361" s="371" t="s">
        <v>879</v>
      </c>
      <c r="C361" s="351">
        <v>18.621900000000004</v>
      </c>
      <c r="D361" s="344" t="s">
        <v>688</v>
      </c>
      <c r="E361" s="341" t="s">
        <v>285</v>
      </c>
      <c r="F361" s="352">
        <v>10.5</v>
      </c>
      <c r="G361" s="352" t="s">
        <v>689</v>
      </c>
      <c r="H361" s="352" t="s">
        <v>690</v>
      </c>
      <c r="I361" s="343"/>
    </row>
    <row r="362" spans="1:9" s="345" customFormat="1" ht="45">
      <c r="A362" s="339"/>
      <c r="B362" s="371" t="s">
        <v>838</v>
      </c>
      <c r="C362" s="351">
        <v>71.72288999999999</v>
      </c>
      <c r="D362" s="344" t="s">
        <v>688</v>
      </c>
      <c r="E362" s="341" t="s">
        <v>285</v>
      </c>
      <c r="F362" s="352"/>
      <c r="G362" s="341"/>
      <c r="H362" s="341"/>
      <c r="I362" s="343"/>
    </row>
    <row r="363" spans="1:9" s="345" customFormat="1" ht="15">
      <c r="A363" s="339"/>
      <c r="B363" s="372" t="s">
        <v>880</v>
      </c>
      <c r="C363" s="351">
        <v>12.0933</v>
      </c>
      <c r="D363" s="344" t="s">
        <v>688</v>
      </c>
      <c r="E363" s="352" t="s">
        <v>285</v>
      </c>
      <c r="F363" s="352">
        <v>10.5</v>
      </c>
      <c r="G363" s="352" t="s">
        <v>689</v>
      </c>
      <c r="H363" s="352" t="s">
        <v>690</v>
      </c>
      <c r="I363" s="343"/>
    </row>
    <row r="364" spans="1:9" s="345" customFormat="1" ht="15">
      <c r="A364" s="339"/>
      <c r="B364" s="371" t="s">
        <v>881</v>
      </c>
      <c r="C364" s="351">
        <v>12.321000000000002</v>
      </c>
      <c r="D364" s="344" t="s">
        <v>688</v>
      </c>
      <c r="E364" s="341" t="s">
        <v>285</v>
      </c>
      <c r="F364" s="352">
        <v>10.5</v>
      </c>
      <c r="G364" s="352" t="s">
        <v>689</v>
      </c>
      <c r="H364" s="352" t="s">
        <v>690</v>
      </c>
      <c r="I364" s="343"/>
    </row>
    <row r="365" spans="1:9" s="345" customFormat="1" ht="30">
      <c r="A365" s="339"/>
      <c r="B365" s="372" t="s">
        <v>882</v>
      </c>
      <c r="C365" s="351">
        <v>16.37379</v>
      </c>
      <c r="D365" s="344" t="s">
        <v>688</v>
      </c>
      <c r="E365" s="352" t="s">
        <v>285</v>
      </c>
      <c r="F365" s="352">
        <v>10.5</v>
      </c>
      <c r="G365" s="352" t="s">
        <v>689</v>
      </c>
      <c r="H365" s="352" t="s">
        <v>690</v>
      </c>
      <c r="I365" s="343"/>
    </row>
    <row r="366" spans="1:9" s="345" customFormat="1" ht="15">
      <c r="A366" s="339"/>
      <c r="B366" s="371" t="s">
        <v>883</v>
      </c>
      <c r="C366" s="351">
        <v>15.795</v>
      </c>
      <c r="D366" s="344" t="s">
        <v>688</v>
      </c>
      <c r="E366" s="341" t="s">
        <v>285</v>
      </c>
      <c r="F366" s="352">
        <v>10.5</v>
      </c>
      <c r="G366" s="352" t="s">
        <v>689</v>
      </c>
      <c r="H366" s="352" t="s">
        <v>690</v>
      </c>
      <c r="I366" s="343"/>
    </row>
    <row r="367" spans="1:9" s="345" customFormat="1" ht="30">
      <c r="A367" s="339"/>
      <c r="B367" s="403" t="s">
        <v>884</v>
      </c>
      <c r="C367" s="351">
        <v>15.795</v>
      </c>
      <c r="D367" s="344" t="s">
        <v>688</v>
      </c>
      <c r="E367" s="341" t="s">
        <v>285</v>
      </c>
      <c r="F367" s="352">
        <v>10.5</v>
      </c>
      <c r="G367" s="352" t="s">
        <v>689</v>
      </c>
      <c r="H367" s="352" t="s">
        <v>690</v>
      </c>
      <c r="I367" s="343"/>
    </row>
    <row r="368" spans="1:9" s="345" customFormat="1" ht="30">
      <c r="A368" s="339"/>
      <c r="B368" s="372" t="s">
        <v>885</v>
      </c>
      <c r="C368" s="351">
        <v>16.328789999999998</v>
      </c>
      <c r="D368" s="344" t="s">
        <v>688</v>
      </c>
      <c r="E368" s="352" t="s">
        <v>285</v>
      </c>
      <c r="F368" s="352">
        <v>10.5</v>
      </c>
      <c r="G368" s="352" t="s">
        <v>689</v>
      </c>
      <c r="H368" s="352" t="s">
        <v>690</v>
      </c>
      <c r="I368" s="343"/>
    </row>
    <row r="369" spans="1:9" s="345" customFormat="1" ht="15">
      <c r="A369" s="339"/>
      <c r="B369" s="403" t="s">
        <v>886</v>
      </c>
      <c r="C369" s="351">
        <v>13.150530000000002</v>
      </c>
      <c r="D369" s="344" t="s">
        <v>688</v>
      </c>
      <c r="E369" s="341" t="s">
        <v>285</v>
      </c>
      <c r="F369" s="352">
        <v>9.8</v>
      </c>
      <c r="G369" s="353" t="s">
        <v>689</v>
      </c>
      <c r="H369" s="354" t="s">
        <v>690</v>
      </c>
      <c r="I369" s="343"/>
    </row>
    <row r="370" spans="1:9" s="345" customFormat="1" ht="15">
      <c r="A370" s="339"/>
      <c r="B370" s="403" t="s">
        <v>887</v>
      </c>
      <c r="C370" s="351">
        <v>29.754</v>
      </c>
      <c r="D370" s="344" t="s">
        <v>688</v>
      </c>
      <c r="E370" s="346" t="s">
        <v>285</v>
      </c>
      <c r="F370" s="352">
        <v>10.5</v>
      </c>
      <c r="G370" s="352" t="s">
        <v>689</v>
      </c>
      <c r="H370" s="352" t="s">
        <v>690</v>
      </c>
      <c r="I370" s="343"/>
    </row>
    <row r="371" spans="1:9" s="345" customFormat="1" ht="15">
      <c r="A371" s="339"/>
      <c r="B371" s="403" t="s">
        <v>888</v>
      </c>
      <c r="C371" s="351">
        <v>29.754</v>
      </c>
      <c r="D371" s="344" t="s">
        <v>688</v>
      </c>
      <c r="E371" s="346" t="s">
        <v>285</v>
      </c>
      <c r="F371" s="352">
        <v>10.5</v>
      </c>
      <c r="G371" s="352" t="s">
        <v>689</v>
      </c>
      <c r="H371" s="352" t="s">
        <v>690</v>
      </c>
      <c r="I371" s="343"/>
    </row>
    <row r="372" spans="1:9" s="345" customFormat="1" ht="15">
      <c r="A372" s="339"/>
      <c r="B372" s="372" t="s">
        <v>889</v>
      </c>
      <c r="C372" s="351">
        <v>29.754</v>
      </c>
      <c r="D372" s="344" t="s">
        <v>688</v>
      </c>
      <c r="E372" s="346" t="s">
        <v>285</v>
      </c>
      <c r="F372" s="352">
        <v>10.5</v>
      </c>
      <c r="G372" s="352" t="s">
        <v>689</v>
      </c>
      <c r="H372" s="352" t="s">
        <v>690</v>
      </c>
      <c r="I372" s="343"/>
    </row>
    <row r="373" spans="1:9" s="345" customFormat="1" ht="15">
      <c r="A373" s="339"/>
      <c r="B373" s="372" t="s">
        <v>890</v>
      </c>
      <c r="C373" s="351">
        <v>29.754</v>
      </c>
      <c r="D373" s="344" t="s">
        <v>688</v>
      </c>
      <c r="E373" s="346" t="s">
        <v>285</v>
      </c>
      <c r="F373" s="352">
        <v>10.5</v>
      </c>
      <c r="G373" s="352" t="s">
        <v>689</v>
      </c>
      <c r="H373" s="352" t="s">
        <v>690</v>
      </c>
      <c r="I373" s="343"/>
    </row>
    <row r="374" spans="1:9" s="345" customFormat="1" ht="15">
      <c r="A374" s="339"/>
      <c r="B374" s="372" t="s">
        <v>891</v>
      </c>
      <c r="C374" s="351">
        <v>29.754</v>
      </c>
      <c r="D374" s="344" t="s">
        <v>688</v>
      </c>
      <c r="E374" s="346" t="s">
        <v>285</v>
      </c>
      <c r="F374" s="352">
        <v>10.5</v>
      </c>
      <c r="G374" s="352" t="s">
        <v>689</v>
      </c>
      <c r="H374" s="352" t="s">
        <v>690</v>
      </c>
      <c r="I374" s="343"/>
    </row>
    <row r="375" spans="1:9" s="345" customFormat="1" ht="15">
      <c r="A375" s="339"/>
      <c r="B375" s="403" t="s">
        <v>892</v>
      </c>
      <c r="C375" s="351">
        <v>29.754</v>
      </c>
      <c r="D375" s="344" t="s">
        <v>688</v>
      </c>
      <c r="E375" s="346" t="s">
        <v>285</v>
      </c>
      <c r="F375" s="352">
        <v>10.5</v>
      </c>
      <c r="G375" s="352" t="s">
        <v>689</v>
      </c>
      <c r="H375" s="352" t="s">
        <v>690</v>
      </c>
      <c r="I375" s="343"/>
    </row>
    <row r="376" spans="1:9" s="345" customFormat="1" ht="15">
      <c r="A376" s="339"/>
      <c r="B376" s="403" t="s">
        <v>893</v>
      </c>
      <c r="C376" s="351">
        <v>29.754</v>
      </c>
      <c r="D376" s="344" t="s">
        <v>688</v>
      </c>
      <c r="E376" s="346" t="s">
        <v>285</v>
      </c>
      <c r="F376" s="352">
        <v>10.5</v>
      </c>
      <c r="G376" s="352" t="s">
        <v>689</v>
      </c>
      <c r="H376" s="352" t="s">
        <v>690</v>
      </c>
      <c r="I376" s="343"/>
    </row>
    <row r="377" spans="1:9" s="345" customFormat="1" ht="15">
      <c r="A377" s="339"/>
      <c r="B377" s="403" t="s">
        <v>894</v>
      </c>
      <c r="C377" s="351">
        <v>29.754</v>
      </c>
      <c r="D377" s="344" t="s">
        <v>688</v>
      </c>
      <c r="E377" s="346" t="s">
        <v>285</v>
      </c>
      <c r="F377" s="352">
        <v>10.5</v>
      </c>
      <c r="G377" s="352" t="s">
        <v>689</v>
      </c>
      <c r="H377" s="352" t="s">
        <v>690</v>
      </c>
      <c r="I377" s="343"/>
    </row>
    <row r="378" spans="1:9" s="345" customFormat="1" ht="15">
      <c r="A378" s="339"/>
      <c r="B378" s="403" t="s">
        <v>895</v>
      </c>
      <c r="C378" s="351">
        <v>29.754</v>
      </c>
      <c r="D378" s="344" t="s">
        <v>688</v>
      </c>
      <c r="E378" s="346" t="s">
        <v>285</v>
      </c>
      <c r="F378" s="352">
        <v>10.5</v>
      </c>
      <c r="G378" s="352" t="s">
        <v>689</v>
      </c>
      <c r="H378" s="352" t="s">
        <v>690</v>
      </c>
      <c r="I378" s="343"/>
    </row>
    <row r="379" spans="1:9" s="345" customFormat="1" ht="15">
      <c r="A379" s="339"/>
      <c r="B379" s="372" t="s">
        <v>896</v>
      </c>
      <c r="C379" s="351">
        <v>24.19902</v>
      </c>
      <c r="D379" s="344" t="s">
        <v>688</v>
      </c>
      <c r="E379" s="346" t="s">
        <v>285</v>
      </c>
      <c r="F379" s="352">
        <v>10.5</v>
      </c>
      <c r="G379" s="352" t="s">
        <v>689</v>
      </c>
      <c r="H379" s="352" t="s">
        <v>690</v>
      </c>
      <c r="I379" s="343"/>
    </row>
    <row r="380" spans="1:9" s="345" customFormat="1" ht="15">
      <c r="A380" s="339"/>
      <c r="B380" s="406" t="s">
        <v>897</v>
      </c>
      <c r="C380" s="351">
        <v>29.754</v>
      </c>
      <c r="D380" s="344" t="s">
        <v>688</v>
      </c>
      <c r="E380" s="346" t="s">
        <v>285</v>
      </c>
      <c r="F380" s="352">
        <v>10.5</v>
      </c>
      <c r="G380" s="352" t="s">
        <v>689</v>
      </c>
      <c r="H380" s="352" t="s">
        <v>690</v>
      </c>
      <c r="I380" s="343"/>
    </row>
    <row r="381" spans="1:9" s="345" customFormat="1" ht="30">
      <c r="A381" s="339" t="s">
        <v>617</v>
      </c>
      <c r="B381" s="340" t="s">
        <v>898</v>
      </c>
      <c r="C381" s="341">
        <v>2.106</v>
      </c>
      <c r="D381" s="340" t="s">
        <v>724</v>
      </c>
      <c r="E381" s="346" t="s">
        <v>285</v>
      </c>
      <c r="F381" s="346">
        <v>10.75</v>
      </c>
      <c r="G381" s="346" t="s">
        <v>725</v>
      </c>
      <c r="H381" s="346" t="s">
        <v>726</v>
      </c>
      <c r="I381" s="343"/>
    </row>
    <row r="382" spans="1:9" s="345" customFormat="1" ht="15">
      <c r="A382" s="339"/>
      <c r="B382" s="340" t="s">
        <v>899</v>
      </c>
      <c r="C382" s="341">
        <v>1.584</v>
      </c>
      <c r="D382" s="340" t="s">
        <v>724</v>
      </c>
      <c r="E382" s="346" t="s">
        <v>285</v>
      </c>
      <c r="F382" s="346">
        <v>10.75</v>
      </c>
      <c r="G382" s="346" t="s">
        <v>725</v>
      </c>
      <c r="H382" s="346" t="s">
        <v>726</v>
      </c>
      <c r="I382" s="343"/>
    </row>
    <row r="383" spans="1:9" s="345" customFormat="1" ht="15">
      <c r="A383" s="339"/>
      <c r="B383" s="340" t="s">
        <v>900</v>
      </c>
      <c r="C383" s="341">
        <v>4.194</v>
      </c>
      <c r="D383" s="340" t="s">
        <v>724</v>
      </c>
      <c r="E383" s="346" t="s">
        <v>285</v>
      </c>
      <c r="F383" s="346">
        <v>10.75</v>
      </c>
      <c r="G383" s="346" t="s">
        <v>725</v>
      </c>
      <c r="H383" s="346" t="s">
        <v>726</v>
      </c>
      <c r="I383" s="343"/>
    </row>
    <row r="384" spans="1:9" s="345" customFormat="1" ht="30">
      <c r="A384" s="339"/>
      <c r="B384" s="340" t="s">
        <v>901</v>
      </c>
      <c r="C384" s="341">
        <v>8.991</v>
      </c>
      <c r="D384" s="340" t="s">
        <v>724</v>
      </c>
      <c r="E384" s="346" t="s">
        <v>285</v>
      </c>
      <c r="F384" s="346">
        <v>10.75</v>
      </c>
      <c r="G384" s="346" t="s">
        <v>725</v>
      </c>
      <c r="H384" s="346" t="s">
        <v>726</v>
      </c>
      <c r="I384" s="343"/>
    </row>
    <row r="385" spans="1:9" s="345" customFormat="1" ht="30">
      <c r="A385" s="339"/>
      <c r="B385" s="340" t="s">
        <v>844</v>
      </c>
      <c r="C385" s="341">
        <v>4.212</v>
      </c>
      <c r="D385" s="340" t="s">
        <v>724</v>
      </c>
      <c r="E385" s="346" t="s">
        <v>285</v>
      </c>
      <c r="F385" s="346">
        <v>10.75</v>
      </c>
      <c r="G385" s="346" t="s">
        <v>725</v>
      </c>
      <c r="H385" s="346" t="s">
        <v>726</v>
      </c>
      <c r="I385" s="343"/>
    </row>
    <row r="386" spans="1:9" s="345" customFormat="1" ht="30">
      <c r="A386" s="339"/>
      <c r="B386" s="340" t="s">
        <v>806</v>
      </c>
      <c r="C386" s="341">
        <v>0.936</v>
      </c>
      <c r="D386" s="340" t="s">
        <v>724</v>
      </c>
      <c r="E386" s="346" t="s">
        <v>285</v>
      </c>
      <c r="F386" s="346">
        <v>10.75</v>
      </c>
      <c r="G386" s="346" t="s">
        <v>725</v>
      </c>
      <c r="H386" s="346" t="s">
        <v>726</v>
      </c>
      <c r="I386" s="343"/>
    </row>
    <row r="387" spans="1:9" s="345" customFormat="1" ht="15">
      <c r="A387" s="339"/>
      <c r="B387" s="340" t="s">
        <v>902</v>
      </c>
      <c r="C387" s="341">
        <v>1.728</v>
      </c>
      <c r="D387" s="340" t="s">
        <v>724</v>
      </c>
      <c r="E387" s="346" t="s">
        <v>285</v>
      </c>
      <c r="F387" s="346">
        <v>10.75</v>
      </c>
      <c r="G387" s="346" t="s">
        <v>725</v>
      </c>
      <c r="H387" s="346" t="s">
        <v>726</v>
      </c>
      <c r="I387" s="343"/>
    </row>
    <row r="388" spans="1:9" s="345" customFormat="1" ht="30">
      <c r="A388" s="339"/>
      <c r="B388" s="340" t="s">
        <v>808</v>
      </c>
      <c r="C388" s="341">
        <v>0.738</v>
      </c>
      <c r="D388" s="340" t="s">
        <v>724</v>
      </c>
      <c r="E388" s="346" t="s">
        <v>285</v>
      </c>
      <c r="F388" s="346">
        <v>10.75</v>
      </c>
      <c r="G388" s="346" t="s">
        <v>725</v>
      </c>
      <c r="H388" s="346" t="s">
        <v>726</v>
      </c>
      <c r="I388" s="343"/>
    </row>
    <row r="389" spans="1:9" s="345" customFormat="1" ht="30">
      <c r="A389" s="339"/>
      <c r="B389" s="340" t="s">
        <v>903</v>
      </c>
      <c r="C389" s="341">
        <v>2.241</v>
      </c>
      <c r="D389" s="340" t="s">
        <v>724</v>
      </c>
      <c r="E389" s="346" t="s">
        <v>285</v>
      </c>
      <c r="F389" s="346">
        <v>10.75</v>
      </c>
      <c r="G389" s="346" t="s">
        <v>725</v>
      </c>
      <c r="H389" s="346" t="s">
        <v>726</v>
      </c>
      <c r="I389" s="343"/>
    </row>
    <row r="390" spans="1:9" s="345" customFormat="1" ht="30">
      <c r="A390" s="339"/>
      <c r="B390" s="340" t="s">
        <v>810</v>
      </c>
      <c r="C390" s="341">
        <v>0.405</v>
      </c>
      <c r="D390" s="340" t="s">
        <v>724</v>
      </c>
      <c r="E390" s="346" t="s">
        <v>285</v>
      </c>
      <c r="F390" s="346">
        <v>10.75</v>
      </c>
      <c r="G390" s="346" t="s">
        <v>725</v>
      </c>
      <c r="H390" s="346" t="s">
        <v>726</v>
      </c>
      <c r="I390" s="343"/>
    </row>
    <row r="391" spans="1:9" s="345" customFormat="1" ht="30">
      <c r="A391" s="339"/>
      <c r="B391" s="340" t="s">
        <v>904</v>
      </c>
      <c r="C391" s="341">
        <v>2.664</v>
      </c>
      <c r="D391" s="340" t="s">
        <v>724</v>
      </c>
      <c r="E391" s="346" t="s">
        <v>285</v>
      </c>
      <c r="F391" s="346">
        <v>10.75</v>
      </c>
      <c r="G391" s="346" t="s">
        <v>725</v>
      </c>
      <c r="H391" s="346" t="s">
        <v>726</v>
      </c>
      <c r="I391" s="343"/>
    </row>
    <row r="392" spans="1:9" s="345" customFormat="1" ht="15">
      <c r="A392" s="339"/>
      <c r="B392" s="340" t="s">
        <v>905</v>
      </c>
      <c r="C392" s="341">
        <v>0.765</v>
      </c>
      <c r="D392" s="340" t="s">
        <v>724</v>
      </c>
      <c r="E392" s="346" t="s">
        <v>285</v>
      </c>
      <c r="F392" s="346">
        <v>10.75</v>
      </c>
      <c r="G392" s="346" t="s">
        <v>725</v>
      </c>
      <c r="H392" s="346" t="s">
        <v>726</v>
      </c>
      <c r="I392" s="343"/>
    </row>
    <row r="393" spans="1:9" s="345" customFormat="1" ht="15">
      <c r="A393" s="339"/>
      <c r="B393" s="340" t="s">
        <v>813</v>
      </c>
      <c r="C393" s="341">
        <v>7.173</v>
      </c>
      <c r="D393" s="340" t="s">
        <v>724</v>
      </c>
      <c r="E393" s="346" t="s">
        <v>285</v>
      </c>
      <c r="F393" s="346">
        <v>10.75</v>
      </c>
      <c r="G393" s="346" t="s">
        <v>725</v>
      </c>
      <c r="H393" s="346" t="s">
        <v>726</v>
      </c>
      <c r="I393" s="343"/>
    </row>
    <row r="394" spans="1:9" s="345" customFormat="1" ht="15">
      <c r="A394" s="339"/>
      <c r="B394" s="340" t="s">
        <v>906</v>
      </c>
      <c r="C394" s="341">
        <v>17.388</v>
      </c>
      <c r="D394" s="340" t="s">
        <v>724</v>
      </c>
      <c r="E394" s="346" t="s">
        <v>285</v>
      </c>
      <c r="F394" s="346">
        <v>10.75</v>
      </c>
      <c r="G394" s="346" t="s">
        <v>725</v>
      </c>
      <c r="H394" s="346" t="s">
        <v>726</v>
      </c>
      <c r="I394" s="343"/>
    </row>
    <row r="395" spans="1:9" s="345" customFormat="1" ht="15">
      <c r="A395" s="339"/>
      <c r="B395" s="340" t="s">
        <v>907</v>
      </c>
      <c r="C395" s="341">
        <v>61.821</v>
      </c>
      <c r="D395" s="340" t="s">
        <v>724</v>
      </c>
      <c r="E395" s="346" t="s">
        <v>285</v>
      </c>
      <c r="F395" s="346">
        <v>10.75</v>
      </c>
      <c r="G395" s="346" t="s">
        <v>725</v>
      </c>
      <c r="H395" s="346" t="s">
        <v>726</v>
      </c>
      <c r="I395" s="343"/>
    </row>
    <row r="396" spans="1:9" s="345" customFormat="1" ht="15">
      <c r="A396" s="339"/>
      <c r="B396" s="340" t="s">
        <v>847</v>
      </c>
      <c r="C396" s="341">
        <v>0.29700000000000004</v>
      </c>
      <c r="D396" s="340" t="s">
        <v>724</v>
      </c>
      <c r="E396" s="346" t="s">
        <v>285</v>
      </c>
      <c r="F396" s="346">
        <v>10.75</v>
      </c>
      <c r="G396" s="346" t="s">
        <v>725</v>
      </c>
      <c r="H396" s="346" t="s">
        <v>726</v>
      </c>
      <c r="I396" s="343"/>
    </row>
    <row r="397" spans="1:9" s="345" customFormat="1" ht="15">
      <c r="A397" s="339"/>
      <c r="B397" s="340" t="s">
        <v>908</v>
      </c>
      <c r="C397" s="341">
        <v>0.6030000000000001</v>
      </c>
      <c r="D397" s="340" t="s">
        <v>724</v>
      </c>
      <c r="E397" s="346" t="s">
        <v>285</v>
      </c>
      <c r="F397" s="346">
        <v>10.75</v>
      </c>
      <c r="G397" s="346" t="s">
        <v>725</v>
      </c>
      <c r="H397" s="346" t="s">
        <v>726</v>
      </c>
      <c r="I397" s="343"/>
    </row>
    <row r="398" spans="1:9" s="345" customFormat="1" ht="15">
      <c r="A398" s="339"/>
      <c r="B398" s="340" t="s">
        <v>909</v>
      </c>
      <c r="C398" s="341">
        <v>0.48600000000000004</v>
      </c>
      <c r="D398" s="340" t="s">
        <v>724</v>
      </c>
      <c r="E398" s="346" t="s">
        <v>285</v>
      </c>
      <c r="F398" s="346">
        <v>10.75</v>
      </c>
      <c r="G398" s="346" t="s">
        <v>725</v>
      </c>
      <c r="H398" s="346" t="s">
        <v>726</v>
      </c>
      <c r="I398" s="343"/>
    </row>
    <row r="399" spans="1:9" s="345" customFormat="1" ht="15">
      <c r="A399" s="339"/>
      <c r="B399" s="340" t="s">
        <v>910</v>
      </c>
      <c r="C399" s="341">
        <v>2.25</v>
      </c>
      <c r="D399" s="340" t="s">
        <v>724</v>
      </c>
      <c r="E399" s="346" t="s">
        <v>285</v>
      </c>
      <c r="F399" s="346">
        <v>10.75</v>
      </c>
      <c r="G399" s="346" t="s">
        <v>725</v>
      </c>
      <c r="H399" s="346" t="s">
        <v>726</v>
      </c>
      <c r="I399" s="343"/>
    </row>
    <row r="400" spans="1:9" s="345" customFormat="1" ht="15">
      <c r="A400" s="339"/>
      <c r="B400" s="340" t="s">
        <v>911</v>
      </c>
      <c r="C400" s="341">
        <v>2.25</v>
      </c>
      <c r="D400" s="340" t="s">
        <v>724</v>
      </c>
      <c r="E400" s="346" t="s">
        <v>285</v>
      </c>
      <c r="F400" s="346">
        <v>10.75</v>
      </c>
      <c r="G400" s="346" t="s">
        <v>725</v>
      </c>
      <c r="H400" s="346" t="s">
        <v>726</v>
      </c>
      <c r="I400" s="343"/>
    </row>
    <row r="401" spans="1:9" s="345" customFormat="1" ht="15">
      <c r="A401" s="339"/>
      <c r="B401" s="340" t="s">
        <v>912</v>
      </c>
      <c r="C401" s="341">
        <v>2.25</v>
      </c>
      <c r="D401" s="340" t="s">
        <v>724</v>
      </c>
      <c r="E401" s="346" t="s">
        <v>285</v>
      </c>
      <c r="F401" s="346">
        <v>10.75</v>
      </c>
      <c r="G401" s="346" t="s">
        <v>725</v>
      </c>
      <c r="H401" s="346" t="s">
        <v>726</v>
      </c>
      <c r="I401" s="343"/>
    </row>
    <row r="402" spans="1:9" s="345" customFormat="1" ht="15">
      <c r="A402" s="339"/>
      <c r="B402" s="340" t="s">
        <v>913</v>
      </c>
      <c r="C402" s="341">
        <v>22.68</v>
      </c>
      <c r="D402" s="340" t="s">
        <v>724</v>
      </c>
      <c r="E402" s="346" t="s">
        <v>285</v>
      </c>
      <c r="F402" s="346">
        <v>10.75</v>
      </c>
      <c r="G402" s="346" t="s">
        <v>725</v>
      </c>
      <c r="H402" s="346" t="s">
        <v>726</v>
      </c>
      <c r="I402" s="343"/>
    </row>
    <row r="403" spans="1:9" s="345" customFormat="1" ht="30">
      <c r="A403" s="339"/>
      <c r="B403" s="340" t="s">
        <v>914</v>
      </c>
      <c r="C403" s="341">
        <v>1.935</v>
      </c>
      <c r="D403" s="340" t="s">
        <v>724</v>
      </c>
      <c r="E403" s="346" t="s">
        <v>285</v>
      </c>
      <c r="F403" s="346">
        <v>10.75</v>
      </c>
      <c r="G403" s="346" t="s">
        <v>725</v>
      </c>
      <c r="H403" s="346" t="s">
        <v>726</v>
      </c>
      <c r="I403" s="343"/>
    </row>
    <row r="404" spans="1:9" s="345" customFormat="1" ht="30">
      <c r="A404" s="339"/>
      <c r="B404" s="340" t="s">
        <v>915</v>
      </c>
      <c r="C404" s="341">
        <v>2.07</v>
      </c>
      <c r="D404" s="340" t="s">
        <v>724</v>
      </c>
      <c r="E404" s="346" t="s">
        <v>285</v>
      </c>
      <c r="F404" s="346">
        <v>10.75</v>
      </c>
      <c r="G404" s="346" t="s">
        <v>725</v>
      </c>
      <c r="H404" s="346" t="s">
        <v>726</v>
      </c>
      <c r="I404" s="343"/>
    </row>
    <row r="405" spans="1:9" s="345" customFormat="1" ht="15">
      <c r="A405" s="339"/>
      <c r="B405" s="355" t="s">
        <v>916</v>
      </c>
      <c r="C405" s="341">
        <v>95.10300000000001</v>
      </c>
      <c r="D405" s="355" t="s">
        <v>688</v>
      </c>
      <c r="E405" s="343" t="s">
        <v>285</v>
      </c>
      <c r="F405" s="346">
        <v>10.75</v>
      </c>
      <c r="G405" s="346" t="s">
        <v>725</v>
      </c>
      <c r="H405" s="346" t="s">
        <v>726</v>
      </c>
      <c r="I405" s="343"/>
    </row>
    <row r="406" spans="1:9" s="345" customFormat="1" ht="15">
      <c r="A406" s="339"/>
      <c r="B406" s="357" t="s">
        <v>102</v>
      </c>
      <c r="C406" s="358">
        <f>SUM(C320:C405)</f>
        <v>2842.169392999998</v>
      </c>
      <c r="D406" s="359"/>
      <c r="E406" s="359"/>
      <c r="F406" s="359"/>
      <c r="G406" s="359"/>
      <c r="H406" s="359"/>
      <c r="I406" s="359"/>
    </row>
    <row r="407" spans="1:9" s="345" customFormat="1" ht="15">
      <c r="A407" s="339"/>
      <c r="B407" s="363"/>
      <c r="C407" s="409"/>
      <c r="D407" s="363"/>
      <c r="E407" s="363"/>
      <c r="F407" s="363"/>
      <c r="G407" s="363"/>
      <c r="H407" s="363"/>
      <c r="I407" s="363"/>
    </row>
    <row r="408" spans="1:9" s="345" customFormat="1" ht="15">
      <c r="A408" s="339"/>
      <c r="B408" s="363"/>
      <c r="C408" s="409"/>
      <c r="D408" s="363"/>
      <c r="E408" s="363"/>
      <c r="F408" s="363"/>
      <c r="G408" s="363"/>
      <c r="H408" s="363"/>
      <c r="I408" s="363"/>
    </row>
    <row r="409" spans="1:9" s="345" customFormat="1" ht="15">
      <c r="A409" s="339"/>
      <c r="B409" s="331" t="s">
        <v>480</v>
      </c>
      <c r="C409" s="332"/>
      <c r="D409" s="363"/>
      <c r="E409" s="364"/>
      <c r="F409" s="363"/>
      <c r="G409" s="365" t="s">
        <v>251</v>
      </c>
      <c r="H409" s="363"/>
      <c r="I409" s="363"/>
    </row>
    <row r="410" spans="1:9" s="345" customFormat="1" ht="42.75">
      <c r="A410" s="339"/>
      <c r="B410" s="337" t="s">
        <v>0</v>
      </c>
      <c r="C410" s="336" t="s">
        <v>204</v>
      </c>
      <c r="D410" s="337" t="s">
        <v>365</v>
      </c>
      <c r="E410" s="337" t="s">
        <v>366</v>
      </c>
      <c r="F410" s="337" t="s">
        <v>367</v>
      </c>
      <c r="G410" s="337" t="s">
        <v>368</v>
      </c>
      <c r="H410" s="338" t="s">
        <v>369</v>
      </c>
      <c r="I410" s="337" t="s">
        <v>107</v>
      </c>
    </row>
    <row r="411" spans="1:9" s="345" customFormat="1" ht="30">
      <c r="A411" s="339" t="s">
        <v>650</v>
      </c>
      <c r="B411" s="340" t="s">
        <v>680</v>
      </c>
      <c r="C411" s="341">
        <v>288</v>
      </c>
      <c r="D411" s="399" t="s">
        <v>663</v>
      </c>
      <c r="E411" s="346" t="s">
        <v>285</v>
      </c>
      <c r="F411" s="343"/>
      <c r="G411" s="343"/>
      <c r="H411" s="343"/>
      <c r="I411" s="343"/>
    </row>
    <row r="412" spans="1:9" s="345" customFormat="1" ht="30">
      <c r="A412" s="339"/>
      <c r="B412" s="340" t="s">
        <v>854</v>
      </c>
      <c r="C412" s="341">
        <v>72</v>
      </c>
      <c r="D412" s="399" t="s">
        <v>663</v>
      </c>
      <c r="E412" s="346" t="s">
        <v>285</v>
      </c>
      <c r="F412" s="343"/>
      <c r="G412" s="343"/>
      <c r="H412" s="343"/>
      <c r="I412" s="343"/>
    </row>
    <row r="413" spans="1:9" s="345" customFormat="1" ht="30">
      <c r="A413" s="339"/>
      <c r="B413" s="340" t="s">
        <v>683</v>
      </c>
      <c r="C413" s="341">
        <v>95.4</v>
      </c>
      <c r="D413" s="342" t="s">
        <v>652</v>
      </c>
      <c r="E413" s="346" t="s">
        <v>285</v>
      </c>
      <c r="F413" s="343"/>
      <c r="G413" s="343"/>
      <c r="H413" s="343"/>
      <c r="I413" s="343"/>
    </row>
    <row r="414" spans="1:9" s="345" customFormat="1" ht="30">
      <c r="A414" s="339"/>
      <c r="B414" s="340" t="s">
        <v>737</v>
      </c>
      <c r="C414" s="341">
        <v>32.4</v>
      </c>
      <c r="D414" s="399" t="s">
        <v>655</v>
      </c>
      <c r="E414" s="346" t="s">
        <v>285</v>
      </c>
      <c r="F414" s="343"/>
      <c r="G414" s="343"/>
      <c r="H414" s="343"/>
      <c r="I414" s="343"/>
    </row>
    <row r="415" spans="1:9" s="345" customFormat="1" ht="30">
      <c r="A415" s="339"/>
      <c r="B415" s="350" t="s">
        <v>739</v>
      </c>
      <c r="C415" s="341">
        <v>162</v>
      </c>
      <c r="D415" s="399" t="s">
        <v>740</v>
      </c>
      <c r="E415" s="346" t="s">
        <v>285</v>
      </c>
      <c r="F415" s="343"/>
      <c r="G415" s="343"/>
      <c r="H415" s="343"/>
      <c r="I415" s="343"/>
    </row>
    <row r="416" spans="1:9" s="345" customFormat="1" ht="15">
      <c r="A416" s="339" t="s">
        <v>686</v>
      </c>
      <c r="B416" s="340" t="s">
        <v>855</v>
      </c>
      <c r="C416" s="351">
        <v>48.50820000000001</v>
      </c>
      <c r="D416" s="344" t="s">
        <v>688</v>
      </c>
      <c r="E416" s="352" t="s">
        <v>285</v>
      </c>
      <c r="F416" s="352">
        <v>10.2</v>
      </c>
      <c r="G416" s="352" t="s">
        <v>689</v>
      </c>
      <c r="H416" s="352" t="s">
        <v>690</v>
      </c>
      <c r="I416" s="343"/>
    </row>
    <row r="417" spans="1:9" s="345" customFormat="1" ht="15">
      <c r="A417" s="339"/>
      <c r="B417" s="340" t="s">
        <v>856</v>
      </c>
      <c r="C417" s="351">
        <v>42.062400000000004</v>
      </c>
      <c r="D417" s="344" t="s">
        <v>688</v>
      </c>
      <c r="E417" s="341" t="s">
        <v>285</v>
      </c>
      <c r="F417" s="341">
        <v>10.5</v>
      </c>
      <c r="G417" s="352" t="s">
        <v>859</v>
      </c>
      <c r="H417" s="352" t="s">
        <v>690</v>
      </c>
      <c r="I417" s="343"/>
    </row>
    <row r="418" spans="1:9" s="345" customFormat="1" ht="15">
      <c r="A418" s="339"/>
      <c r="B418" s="400" t="s">
        <v>858</v>
      </c>
      <c r="C418" s="351">
        <v>37.562400000000004</v>
      </c>
      <c r="D418" s="344" t="s">
        <v>688</v>
      </c>
      <c r="E418" s="341" t="s">
        <v>285</v>
      </c>
      <c r="F418" s="341">
        <v>10.5</v>
      </c>
      <c r="G418" s="352" t="s">
        <v>859</v>
      </c>
      <c r="H418" s="352" t="s">
        <v>690</v>
      </c>
      <c r="I418" s="343"/>
    </row>
    <row r="419" spans="1:9" s="345" customFormat="1" ht="15">
      <c r="A419" s="339"/>
      <c r="B419" s="410" t="s">
        <v>857</v>
      </c>
      <c r="C419" s="351">
        <v>42.062400000000004</v>
      </c>
      <c r="D419" s="344" t="s">
        <v>688</v>
      </c>
      <c r="E419" s="341" t="s">
        <v>285</v>
      </c>
      <c r="F419" s="341">
        <v>10.5</v>
      </c>
      <c r="G419" s="352" t="s">
        <v>859</v>
      </c>
      <c r="H419" s="352" t="s">
        <v>690</v>
      </c>
      <c r="I419" s="343"/>
    </row>
    <row r="420" spans="1:9" s="345" customFormat="1" ht="15">
      <c r="A420" s="339"/>
      <c r="B420" s="411" t="s">
        <v>872</v>
      </c>
      <c r="C420" s="351">
        <v>15.962400000000002</v>
      </c>
      <c r="D420" s="344" t="s">
        <v>688</v>
      </c>
      <c r="E420" s="341" t="s">
        <v>285</v>
      </c>
      <c r="F420" s="352">
        <v>10.5</v>
      </c>
      <c r="G420" s="352" t="s">
        <v>689</v>
      </c>
      <c r="H420" s="352" t="s">
        <v>690</v>
      </c>
      <c r="I420" s="343"/>
    </row>
    <row r="421" spans="1:9" s="345" customFormat="1" ht="15">
      <c r="A421" s="339"/>
      <c r="B421" s="412" t="s">
        <v>917</v>
      </c>
      <c r="C421" s="351">
        <v>29.754</v>
      </c>
      <c r="D421" s="344" t="s">
        <v>688</v>
      </c>
      <c r="E421" s="346" t="s">
        <v>285</v>
      </c>
      <c r="F421" s="352">
        <v>10.5</v>
      </c>
      <c r="G421" s="352" t="s">
        <v>689</v>
      </c>
      <c r="H421" s="352" t="s">
        <v>690</v>
      </c>
      <c r="I421" s="343"/>
    </row>
    <row r="422" spans="1:9" s="345" customFormat="1" ht="15">
      <c r="A422" s="339"/>
      <c r="B422" s="412" t="s">
        <v>918</v>
      </c>
      <c r="C422" s="351">
        <v>29.754</v>
      </c>
      <c r="D422" s="344" t="s">
        <v>688</v>
      </c>
      <c r="E422" s="346" t="s">
        <v>285</v>
      </c>
      <c r="F422" s="352">
        <v>10.5</v>
      </c>
      <c r="G422" s="352" t="s">
        <v>689</v>
      </c>
      <c r="H422" s="352" t="s">
        <v>690</v>
      </c>
      <c r="I422" s="343"/>
    </row>
    <row r="423" spans="1:9" s="345" customFormat="1" ht="15">
      <c r="A423" s="339"/>
      <c r="B423" s="412" t="s">
        <v>919</v>
      </c>
      <c r="C423" s="351">
        <v>29.754</v>
      </c>
      <c r="D423" s="344" t="s">
        <v>688</v>
      </c>
      <c r="E423" s="346" t="s">
        <v>285</v>
      </c>
      <c r="F423" s="352">
        <v>10.5</v>
      </c>
      <c r="G423" s="352" t="s">
        <v>689</v>
      </c>
      <c r="H423" s="352" t="s">
        <v>690</v>
      </c>
      <c r="I423" s="343"/>
    </row>
    <row r="424" spans="1:9" s="345" customFormat="1" ht="15">
      <c r="A424" s="339"/>
      <c r="B424" s="412" t="s">
        <v>920</v>
      </c>
      <c r="C424" s="351">
        <v>29.754</v>
      </c>
      <c r="D424" s="344" t="s">
        <v>688</v>
      </c>
      <c r="E424" s="346" t="s">
        <v>285</v>
      </c>
      <c r="F424" s="352">
        <v>10.5</v>
      </c>
      <c r="G424" s="352" t="s">
        <v>689</v>
      </c>
      <c r="H424" s="352" t="s">
        <v>690</v>
      </c>
      <c r="I424" s="343"/>
    </row>
    <row r="425" spans="1:9" s="345" customFormat="1" ht="15">
      <c r="A425" s="339"/>
      <c r="B425" s="412" t="s">
        <v>921</v>
      </c>
      <c r="C425" s="351">
        <v>29.754</v>
      </c>
      <c r="D425" s="344" t="s">
        <v>688</v>
      </c>
      <c r="E425" s="346" t="s">
        <v>285</v>
      </c>
      <c r="F425" s="352">
        <v>10.5</v>
      </c>
      <c r="G425" s="352" t="s">
        <v>689</v>
      </c>
      <c r="H425" s="352" t="s">
        <v>690</v>
      </c>
      <c r="I425" s="343"/>
    </row>
    <row r="426" spans="1:9" s="345" customFormat="1" ht="15">
      <c r="A426" s="339"/>
      <c r="B426" s="412" t="s">
        <v>922</v>
      </c>
      <c r="C426" s="351">
        <v>29.754</v>
      </c>
      <c r="D426" s="344" t="s">
        <v>688</v>
      </c>
      <c r="E426" s="346" t="s">
        <v>285</v>
      </c>
      <c r="F426" s="352">
        <v>10.5</v>
      </c>
      <c r="G426" s="352" t="s">
        <v>689</v>
      </c>
      <c r="H426" s="352" t="s">
        <v>690</v>
      </c>
      <c r="I426" s="343"/>
    </row>
    <row r="427" spans="1:9" s="345" customFormat="1" ht="15">
      <c r="A427" s="339"/>
      <c r="B427" s="412" t="s">
        <v>923</v>
      </c>
      <c r="C427" s="351">
        <v>29.754</v>
      </c>
      <c r="D427" s="344" t="s">
        <v>688</v>
      </c>
      <c r="E427" s="346" t="s">
        <v>285</v>
      </c>
      <c r="F427" s="352">
        <v>10.5</v>
      </c>
      <c r="G427" s="352" t="s">
        <v>689</v>
      </c>
      <c r="H427" s="352" t="s">
        <v>690</v>
      </c>
      <c r="I427" s="343"/>
    </row>
    <row r="428" spans="1:9" s="345" customFormat="1" ht="15">
      <c r="A428" s="339"/>
      <c r="B428" s="412" t="s">
        <v>924</v>
      </c>
      <c r="C428" s="351">
        <v>29.754</v>
      </c>
      <c r="D428" s="344" t="s">
        <v>688</v>
      </c>
      <c r="E428" s="346" t="s">
        <v>285</v>
      </c>
      <c r="F428" s="352">
        <v>10.5</v>
      </c>
      <c r="G428" s="352" t="s">
        <v>689</v>
      </c>
      <c r="H428" s="352" t="s">
        <v>690</v>
      </c>
      <c r="I428" s="343"/>
    </row>
    <row r="429" spans="1:9" s="345" customFormat="1" ht="15">
      <c r="A429" s="339"/>
      <c r="B429" s="412" t="s">
        <v>925</v>
      </c>
      <c r="C429" s="351">
        <v>29.754</v>
      </c>
      <c r="D429" s="344" t="s">
        <v>688</v>
      </c>
      <c r="E429" s="346" t="s">
        <v>285</v>
      </c>
      <c r="F429" s="352">
        <v>10.5</v>
      </c>
      <c r="G429" s="352" t="s">
        <v>689</v>
      </c>
      <c r="H429" s="352" t="s">
        <v>690</v>
      </c>
      <c r="I429" s="343"/>
    </row>
    <row r="430" spans="1:9" s="345" customFormat="1" ht="15">
      <c r="A430" s="339"/>
      <c r="B430" s="412" t="s">
        <v>926</v>
      </c>
      <c r="C430" s="351">
        <v>29.754</v>
      </c>
      <c r="D430" s="344" t="s">
        <v>688</v>
      </c>
      <c r="E430" s="346" t="s">
        <v>285</v>
      </c>
      <c r="F430" s="352">
        <v>10.5</v>
      </c>
      <c r="G430" s="352" t="s">
        <v>689</v>
      </c>
      <c r="H430" s="352" t="s">
        <v>690</v>
      </c>
      <c r="I430" s="343"/>
    </row>
    <row r="431" spans="1:9" s="345" customFormat="1" ht="15">
      <c r="A431" s="339"/>
      <c r="B431" s="412" t="s">
        <v>927</v>
      </c>
      <c r="C431" s="351">
        <v>29.754</v>
      </c>
      <c r="D431" s="344" t="s">
        <v>688</v>
      </c>
      <c r="E431" s="346" t="s">
        <v>285</v>
      </c>
      <c r="F431" s="352">
        <v>10.5</v>
      </c>
      <c r="G431" s="352" t="s">
        <v>689</v>
      </c>
      <c r="H431" s="352" t="s">
        <v>690</v>
      </c>
      <c r="I431" s="343"/>
    </row>
    <row r="432" spans="1:9" s="345" customFormat="1" ht="15">
      <c r="A432" s="339"/>
      <c r="B432" s="412" t="s">
        <v>928</v>
      </c>
      <c r="C432" s="351">
        <v>29.754</v>
      </c>
      <c r="D432" s="344" t="s">
        <v>688</v>
      </c>
      <c r="E432" s="346" t="s">
        <v>285</v>
      </c>
      <c r="F432" s="352">
        <v>10.5</v>
      </c>
      <c r="G432" s="352" t="s">
        <v>689</v>
      </c>
      <c r="H432" s="352" t="s">
        <v>690</v>
      </c>
      <c r="I432" s="343"/>
    </row>
    <row r="433" spans="1:9" s="345" customFormat="1" ht="15">
      <c r="A433" s="339"/>
      <c r="B433" s="400" t="s">
        <v>929</v>
      </c>
      <c r="C433" s="351">
        <v>82.0755</v>
      </c>
      <c r="D433" s="344" t="s">
        <v>688</v>
      </c>
      <c r="E433" s="346" t="s">
        <v>285</v>
      </c>
      <c r="F433" s="352">
        <v>10.5</v>
      </c>
      <c r="G433" s="352" t="s">
        <v>689</v>
      </c>
      <c r="H433" s="352" t="s">
        <v>690</v>
      </c>
      <c r="I433" s="343"/>
    </row>
    <row r="434" spans="1:9" s="345" customFormat="1" ht="15">
      <c r="A434" s="339"/>
      <c r="B434" s="355" t="s">
        <v>930</v>
      </c>
      <c r="C434" s="351">
        <v>29.754</v>
      </c>
      <c r="D434" s="344" t="s">
        <v>688</v>
      </c>
      <c r="E434" s="346" t="s">
        <v>285</v>
      </c>
      <c r="F434" s="352">
        <v>10.5</v>
      </c>
      <c r="G434" s="352" t="s">
        <v>689</v>
      </c>
      <c r="H434" s="352" t="s">
        <v>690</v>
      </c>
      <c r="I434" s="343"/>
    </row>
    <row r="435" spans="1:9" s="345" customFormat="1" ht="15">
      <c r="A435" s="339"/>
      <c r="B435" s="400" t="s">
        <v>931</v>
      </c>
      <c r="C435" s="351">
        <v>29.754</v>
      </c>
      <c r="D435" s="344" t="s">
        <v>688</v>
      </c>
      <c r="E435" s="346" t="s">
        <v>285</v>
      </c>
      <c r="F435" s="352">
        <v>10.5</v>
      </c>
      <c r="G435" s="352" t="s">
        <v>689</v>
      </c>
      <c r="H435" s="352" t="s">
        <v>690</v>
      </c>
      <c r="I435" s="343"/>
    </row>
    <row r="436" spans="1:9" s="345" customFormat="1" ht="15">
      <c r="A436" s="339"/>
      <c r="B436" s="340" t="s">
        <v>932</v>
      </c>
      <c r="C436" s="351">
        <v>40.122</v>
      </c>
      <c r="D436" s="344" t="s">
        <v>688</v>
      </c>
      <c r="E436" s="346" t="s">
        <v>285</v>
      </c>
      <c r="F436" s="352">
        <v>10.5</v>
      </c>
      <c r="G436" s="352" t="s">
        <v>689</v>
      </c>
      <c r="H436" s="354" t="s">
        <v>690</v>
      </c>
      <c r="I436" s="343"/>
    </row>
    <row r="437" spans="1:9" s="345" customFormat="1" ht="15">
      <c r="A437" s="339"/>
      <c r="B437" s="355" t="s">
        <v>933</v>
      </c>
      <c r="C437" s="351">
        <v>61.038000000000004</v>
      </c>
      <c r="D437" s="344" t="s">
        <v>688</v>
      </c>
      <c r="E437" s="346" t="s">
        <v>285</v>
      </c>
      <c r="F437" s="352">
        <v>10.5</v>
      </c>
      <c r="G437" s="352" t="s">
        <v>689</v>
      </c>
      <c r="H437" s="354" t="s">
        <v>690</v>
      </c>
      <c r="I437" s="343"/>
    </row>
    <row r="438" spans="1:9" s="345" customFormat="1" ht="15">
      <c r="A438" s="339"/>
      <c r="B438" s="340" t="s">
        <v>934</v>
      </c>
      <c r="C438" s="351">
        <v>33.695100000000004</v>
      </c>
      <c r="D438" s="344" t="s">
        <v>688</v>
      </c>
      <c r="E438" s="341" t="s">
        <v>285</v>
      </c>
      <c r="F438" s="352">
        <v>10.5</v>
      </c>
      <c r="G438" s="352" t="s">
        <v>689</v>
      </c>
      <c r="H438" s="354" t="s">
        <v>690</v>
      </c>
      <c r="I438" s="343"/>
    </row>
    <row r="439" spans="1:9" s="345" customFormat="1" ht="15">
      <c r="A439" s="339"/>
      <c r="B439" s="400" t="s">
        <v>935</v>
      </c>
      <c r="C439" s="351">
        <v>29.754</v>
      </c>
      <c r="D439" s="344" t="s">
        <v>688</v>
      </c>
      <c r="E439" s="346" t="s">
        <v>285</v>
      </c>
      <c r="F439" s="352">
        <v>10.5</v>
      </c>
      <c r="G439" s="352" t="s">
        <v>689</v>
      </c>
      <c r="H439" s="352" t="s">
        <v>690</v>
      </c>
      <c r="I439" s="343"/>
    </row>
    <row r="440" spans="1:9" s="345" customFormat="1" ht="15">
      <c r="A440" s="339"/>
      <c r="B440" s="410" t="s">
        <v>936</v>
      </c>
      <c r="C440" s="351">
        <v>29.754</v>
      </c>
      <c r="D440" s="344" t="s">
        <v>688</v>
      </c>
      <c r="E440" s="346" t="s">
        <v>285</v>
      </c>
      <c r="F440" s="352">
        <v>10.5</v>
      </c>
      <c r="G440" s="352" t="s">
        <v>689</v>
      </c>
      <c r="H440" s="352" t="s">
        <v>690</v>
      </c>
      <c r="I440" s="343"/>
    </row>
    <row r="441" spans="1:9" s="345" customFormat="1" ht="15">
      <c r="A441" s="339"/>
      <c r="B441" s="400" t="s">
        <v>937</v>
      </c>
      <c r="C441" s="351">
        <v>29.754</v>
      </c>
      <c r="D441" s="344" t="s">
        <v>688</v>
      </c>
      <c r="E441" s="346" t="s">
        <v>285</v>
      </c>
      <c r="F441" s="352">
        <v>10.5</v>
      </c>
      <c r="G441" s="352" t="s">
        <v>689</v>
      </c>
      <c r="H441" s="352" t="s">
        <v>690</v>
      </c>
      <c r="I441" s="343"/>
    </row>
    <row r="442" spans="1:9" s="345" customFormat="1" ht="15">
      <c r="A442" s="339"/>
      <c r="B442" s="400" t="s">
        <v>938</v>
      </c>
      <c r="C442" s="351">
        <v>29.754</v>
      </c>
      <c r="D442" s="344" t="s">
        <v>688</v>
      </c>
      <c r="E442" s="346" t="s">
        <v>285</v>
      </c>
      <c r="F442" s="352">
        <v>10.5</v>
      </c>
      <c r="G442" s="352" t="s">
        <v>689</v>
      </c>
      <c r="H442" s="352" t="s">
        <v>690</v>
      </c>
      <c r="I442" s="343"/>
    </row>
    <row r="443" spans="1:9" s="345" customFormat="1" ht="15">
      <c r="A443" s="339"/>
      <c r="B443" s="400" t="s">
        <v>939</v>
      </c>
      <c r="C443" s="351">
        <v>29.754</v>
      </c>
      <c r="D443" s="344" t="s">
        <v>688</v>
      </c>
      <c r="E443" s="346" t="s">
        <v>285</v>
      </c>
      <c r="F443" s="352">
        <v>10.5</v>
      </c>
      <c r="G443" s="352" t="s">
        <v>689</v>
      </c>
      <c r="H443" s="352" t="s">
        <v>690</v>
      </c>
      <c r="I443" s="343"/>
    </row>
    <row r="444" spans="1:9" s="345" customFormat="1" ht="15">
      <c r="A444" s="339"/>
      <c r="B444" s="400" t="s">
        <v>940</v>
      </c>
      <c r="C444" s="351">
        <v>29.754</v>
      </c>
      <c r="D444" s="344" t="s">
        <v>688</v>
      </c>
      <c r="E444" s="346" t="s">
        <v>285</v>
      </c>
      <c r="F444" s="352">
        <v>10.5</v>
      </c>
      <c r="G444" s="352" t="s">
        <v>689</v>
      </c>
      <c r="H444" s="352" t="s">
        <v>690</v>
      </c>
      <c r="I444" s="343"/>
    </row>
    <row r="445" spans="1:9" s="345" customFormat="1" ht="15">
      <c r="A445" s="339"/>
      <c r="B445" s="400" t="s">
        <v>941</v>
      </c>
      <c r="C445" s="351">
        <v>29.754</v>
      </c>
      <c r="D445" s="344" t="s">
        <v>688</v>
      </c>
      <c r="E445" s="346" t="s">
        <v>285</v>
      </c>
      <c r="F445" s="352">
        <v>10.5</v>
      </c>
      <c r="G445" s="352" t="s">
        <v>689</v>
      </c>
      <c r="H445" s="352" t="s">
        <v>690</v>
      </c>
      <c r="I445" s="343"/>
    </row>
    <row r="446" spans="1:9" s="345" customFormat="1" ht="15">
      <c r="A446" s="339"/>
      <c r="B446" s="400" t="s">
        <v>942</v>
      </c>
      <c r="C446" s="351">
        <v>29.754</v>
      </c>
      <c r="D446" s="344" t="s">
        <v>688</v>
      </c>
      <c r="E446" s="346" t="s">
        <v>285</v>
      </c>
      <c r="F446" s="352">
        <v>10.5</v>
      </c>
      <c r="G446" s="352" t="s">
        <v>689</v>
      </c>
      <c r="H446" s="352" t="s">
        <v>690</v>
      </c>
      <c r="I446" s="343"/>
    </row>
    <row r="447" spans="1:9" s="345" customFormat="1" ht="15">
      <c r="A447" s="339"/>
      <c r="B447" s="400" t="s">
        <v>943</v>
      </c>
      <c r="C447" s="351">
        <v>47.169000000000004</v>
      </c>
      <c r="D447" s="344" t="s">
        <v>688</v>
      </c>
      <c r="E447" s="346" t="s">
        <v>285</v>
      </c>
      <c r="F447" s="352">
        <v>10.5</v>
      </c>
      <c r="G447" s="352" t="s">
        <v>689</v>
      </c>
      <c r="H447" s="354" t="s">
        <v>690</v>
      </c>
      <c r="I447" s="343"/>
    </row>
    <row r="448" spans="1:9" s="345" customFormat="1" ht="15">
      <c r="A448" s="339"/>
      <c r="B448" s="340" t="s">
        <v>944</v>
      </c>
      <c r="C448" s="351">
        <v>6.3</v>
      </c>
      <c r="D448" s="344" t="s">
        <v>688</v>
      </c>
      <c r="E448" s="352" t="s">
        <v>285</v>
      </c>
      <c r="F448" s="352">
        <v>10.2</v>
      </c>
      <c r="G448" s="352" t="s">
        <v>689</v>
      </c>
      <c r="H448" s="352" t="s">
        <v>690</v>
      </c>
      <c r="I448" s="343"/>
    </row>
    <row r="449" spans="1:9" s="345" customFormat="1" ht="30">
      <c r="A449" s="339"/>
      <c r="B449" s="340" t="s">
        <v>945</v>
      </c>
      <c r="C449" s="351">
        <v>6.3</v>
      </c>
      <c r="D449" s="344" t="s">
        <v>688</v>
      </c>
      <c r="E449" s="352" t="s">
        <v>285</v>
      </c>
      <c r="F449" s="352">
        <v>10.2</v>
      </c>
      <c r="G449" s="352" t="s">
        <v>689</v>
      </c>
      <c r="H449" s="352" t="s">
        <v>690</v>
      </c>
      <c r="I449" s="343"/>
    </row>
    <row r="450" spans="1:9" s="345" customFormat="1" ht="15">
      <c r="A450" s="339"/>
      <c r="B450" s="340" t="s">
        <v>946</v>
      </c>
      <c r="C450" s="351">
        <v>14.931000000000001</v>
      </c>
      <c r="D450" s="344" t="s">
        <v>688</v>
      </c>
      <c r="E450" s="352" t="s">
        <v>285</v>
      </c>
      <c r="F450" s="352">
        <v>10.2</v>
      </c>
      <c r="G450" s="352" t="s">
        <v>689</v>
      </c>
      <c r="H450" s="352" t="s">
        <v>690</v>
      </c>
      <c r="I450" s="343"/>
    </row>
    <row r="451" spans="1:9" s="345" customFormat="1" ht="15">
      <c r="A451" s="339"/>
      <c r="B451" s="340" t="s">
        <v>947</v>
      </c>
      <c r="C451" s="351">
        <v>15.048</v>
      </c>
      <c r="D451" s="344" t="s">
        <v>688</v>
      </c>
      <c r="E451" s="352" t="s">
        <v>285</v>
      </c>
      <c r="F451" s="352">
        <v>10.2</v>
      </c>
      <c r="G451" s="352" t="s">
        <v>689</v>
      </c>
      <c r="H451" s="352" t="s">
        <v>690</v>
      </c>
      <c r="I451" s="343"/>
    </row>
    <row r="452" spans="1:9" s="345" customFormat="1" ht="15">
      <c r="A452" s="339"/>
      <c r="B452" s="340" t="s">
        <v>948</v>
      </c>
      <c r="C452" s="351">
        <v>15.048</v>
      </c>
      <c r="D452" s="344" t="s">
        <v>688</v>
      </c>
      <c r="E452" s="352" t="s">
        <v>285</v>
      </c>
      <c r="F452" s="352">
        <v>10.2</v>
      </c>
      <c r="G452" s="352" t="s">
        <v>689</v>
      </c>
      <c r="H452" s="352" t="s">
        <v>690</v>
      </c>
      <c r="I452" s="343"/>
    </row>
    <row r="453" spans="1:9" s="345" customFormat="1" ht="15">
      <c r="A453" s="339"/>
      <c r="B453" s="413" t="s">
        <v>949</v>
      </c>
      <c r="C453" s="351">
        <v>29.754</v>
      </c>
      <c r="D453" s="344" t="s">
        <v>688</v>
      </c>
      <c r="E453" s="346" t="s">
        <v>285</v>
      </c>
      <c r="F453" s="352">
        <v>10.5</v>
      </c>
      <c r="G453" s="352" t="s">
        <v>689</v>
      </c>
      <c r="H453" s="352" t="s">
        <v>690</v>
      </c>
      <c r="I453" s="343"/>
    </row>
    <row r="454" spans="1:9" s="345" customFormat="1" ht="15">
      <c r="A454" s="339"/>
      <c r="B454" s="413" t="s">
        <v>950</v>
      </c>
      <c r="C454" s="351">
        <v>29.754</v>
      </c>
      <c r="D454" s="344" t="s">
        <v>688</v>
      </c>
      <c r="E454" s="346" t="s">
        <v>285</v>
      </c>
      <c r="F454" s="352">
        <v>10.5</v>
      </c>
      <c r="G454" s="352" t="s">
        <v>689</v>
      </c>
      <c r="H454" s="352" t="s">
        <v>690</v>
      </c>
      <c r="I454" s="343"/>
    </row>
    <row r="455" spans="1:9" s="345" customFormat="1" ht="15">
      <c r="A455" s="339"/>
      <c r="B455" s="413" t="s">
        <v>951</v>
      </c>
      <c r="C455" s="351">
        <v>29.754</v>
      </c>
      <c r="D455" s="344" t="s">
        <v>688</v>
      </c>
      <c r="E455" s="346" t="s">
        <v>285</v>
      </c>
      <c r="F455" s="352">
        <v>10.5</v>
      </c>
      <c r="G455" s="352" t="s">
        <v>689</v>
      </c>
      <c r="H455" s="352" t="s">
        <v>690</v>
      </c>
      <c r="I455" s="343"/>
    </row>
    <row r="456" spans="1:9" s="345" customFormat="1" ht="15">
      <c r="A456" s="339"/>
      <c r="B456" s="413" t="s">
        <v>952</v>
      </c>
      <c r="C456" s="351">
        <v>29.754</v>
      </c>
      <c r="D456" s="344" t="s">
        <v>688</v>
      </c>
      <c r="E456" s="346" t="s">
        <v>285</v>
      </c>
      <c r="F456" s="352">
        <v>10.5</v>
      </c>
      <c r="G456" s="352" t="s">
        <v>689</v>
      </c>
      <c r="H456" s="352" t="s">
        <v>690</v>
      </c>
      <c r="I456" s="343"/>
    </row>
    <row r="457" spans="1:9" s="345" customFormat="1" ht="15">
      <c r="A457" s="339"/>
      <c r="B457" s="411" t="s">
        <v>953</v>
      </c>
      <c r="C457" s="351">
        <v>29.754</v>
      </c>
      <c r="D457" s="344" t="s">
        <v>688</v>
      </c>
      <c r="E457" s="346" t="s">
        <v>285</v>
      </c>
      <c r="F457" s="352">
        <v>10.5</v>
      </c>
      <c r="G457" s="352" t="s">
        <v>689</v>
      </c>
      <c r="H457" s="352" t="s">
        <v>690</v>
      </c>
      <c r="I457" s="343"/>
    </row>
    <row r="458" spans="1:9" s="345" customFormat="1" ht="15">
      <c r="A458" s="339"/>
      <c r="B458" s="400" t="s">
        <v>954</v>
      </c>
      <c r="C458" s="351">
        <v>25.038</v>
      </c>
      <c r="D458" s="344" t="s">
        <v>688</v>
      </c>
      <c r="E458" s="346" t="s">
        <v>285</v>
      </c>
      <c r="F458" s="352">
        <v>10.5</v>
      </c>
      <c r="G458" s="352" t="s">
        <v>689</v>
      </c>
      <c r="H458" s="352" t="s">
        <v>690</v>
      </c>
      <c r="I458" s="343"/>
    </row>
    <row r="459" spans="1:9" s="345" customFormat="1" ht="15">
      <c r="A459" s="339"/>
      <c r="B459" s="400" t="s">
        <v>955</v>
      </c>
      <c r="C459" s="351">
        <v>31.347</v>
      </c>
      <c r="D459" s="344" t="s">
        <v>688</v>
      </c>
      <c r="E459" s="346" t="s">
        <v>285</v>
      </c>
      <c r="F459" s="352">
        <v>10.5</v>
      </c>
      <c r="G459" s="352" t="s">
        <v>689</v>
      </c>
      <c r="H459" s="352" t="s">
        <v>690</v>
      </c>
      <c r="I459" s="343"/>
    </row>
    <row r="460" spans="1:9" s="345" customFormat="1" ht="30">
      <c r="A460" s="339"/>
      <c r="B460" s="355" t="s">
        <v>956</v>
      </c>
      <c r="C460" s="351">
        <v>7.335</v>
      </c>
      <c r="D460" s="344" t="s">
        <v>688</v>
      </c>
      <c r="E460" s="352" t="s">
        <v>285</v>
      </c>
      <c r="F460" s="352">
        <v>10.5</v>
      </c>
      <c r="G460" s="352" t="s">
        <v>689</v>
      </c>
      <c r="H460" s="352" t="s">
        <v>690</v>
      </c>
      <c r="I460" s="343"/>
    </row>
    <row r="461" spans="1:9" s="345" customFormat="1" ht="15">
      <c r="A461" s="339"/>
      <c r="B461" s="413" t="s">
        <v>957</v>
      </c>
      <c r="C461" s="351">
        <v>30.336479999999998</v>
      </c>
      <c r="D461" s="344" t="s">
        <v>688</v>
      </c>
      <c r="E461" s="346" t="s">
        <v>285</v>
      </c>
      <c r="F461" s="352">
        <v>10.5</v>
      </c>
      <c r="G461" s="352" t="s">
        <v>689</v>
      </c>
      <c r="H461" s="352" t="s">
        <v>690</v>
      </c>
      <c r="I461" s="343"/>
    </row>
    <row r="462" spans="1:9" s="345" customFormat="1" ht="15">
      <c r="A462" s="339"/>
      <c r="B462" s="340" t="s">
        <v>958</v>
      </c>
      <c r="C462" s="351">
        <v>82.0755</v>
      </c>
      <c r="D462" s="344" t="s">
        <v>688</v>
      </c>
      <c r="E462" s="346" t="s">
        <v>285</v>
      </c>
      <c r="F462" s="352">
        <v>10.5</v>
      </c>
      <c r="G462" s="352" t="s">
        <v>689</v>
      </c>
      <c r="H462" s="352" t="s">
        <v>690</v>
      </c>
      <c r="I462" s="343"/>
    </row>
    <row r="463" spans="1:9" s="345" customFormat="1" ht="15">
      <c r="A463" s="339"/>
      <c r="B463" s="340" t="s">
        <v>959</v>
      </c>
      <c r="C463" s="351">
        <v>15.048</v>
      </c>
      <c r="D463" s="344" t="s">
        <v>688</v>
      </c>
      <c r="E463" s="352" t="s">
        <v>285</v>
      </c>
      <c r="F463" s="352">
        <v>10.5</v>
      </c>
      <c r="G463" s="352" t="s">
        <v>689</v>
      </c>
      <c r="H463" s="352" t="s">
        <v>690</v>
      </c>
      <c r="I463" s="343"/>
    </row>
    <row r="464" spans="1:9" s="345" customFormat="1" ht="30">
      <c r="A464" s="339"/>
      <c r="B464" s="340" t="s">
        <v>960</v>
      </c>
      <c r="C464" s="351">
        <v>13.68</v>
      </c>
      <c r="D464" s="344" t="s">
        <v>688</v>
      </c>
      <c r="E464" s="341" t="s">
        <v>285</v>
      </c>
      <c r="F464" s="352">
        <v>10.5</v>
      </c>
      <c r="G464" s="352" t="s">
        <v>689</v>
      </c>
      <c r="H464" s="352" t="s">
        <v>690</v>
      </c>
      <c r="I464" s="343"/>
    </row>
    <row r="465" spans="1:9" s="345" customFormat="1" ht="15">
      <c r="A465" s="339"/>
      <c r="B465" s="355" t="s">
        <v>961</v>
      </c>
      <c r="C465" s="351">
        <v>1.62</v>
      </c>
      <c r="D465" s="344" t="s">
        <v>688</v>
      </c>
      <c r="E465" s="352" t="s">
        <v>285</v>
      </c>
      <c r="F465" s="352">
        <v>10.5</v>
      </c>
      <c r="G465" s="352" t="s">
        <v>689</v>
      </c>
      <c r="H465" s="352" t="s">
        <v>690</v>
      </c>
      <c r="I465" s="343"/>
    </row>
    <row r="466" spans="1:9" s="345" customFormat="1" ht="30">
      <c r="A466" s="339"/>
      <c r="B466" s="340" t="s">
        <v>962</v>
      </c>
      <c r="C466" s="351">
        <v>1.5885</v>
      </c>
      <c r="D466" s="344" t="s">
        <v>688</v>
      </c>
      <c r="E466" s="352" t="s">
        <v>285</v>
      </c>
      <c r="F466" s="352">
        <v>9.8</v>
      </c>
      <c r="G466" s="353" t="s">
        <v>689</v>
      </c>
      <c r="H466" s="354" t="s">
        <v>690</v>
      </c>
      <c r="I466" s="343"/>
    </row>
    <row r="467" spans="1:9" s="345" customFormat="1" ht="15">
      <c r="A467" s="339"/>
      <c r="B467" s="340" t="s">
        <v>963</v>
      </c>
      <c r="C467" s="351">
        <v>9.936</v>
      </c>
      <c r="D467" s="344" t="s">
        <v>688</v>
      </c>
      <c r="E467" s="352" t="s">
        <v>285</v>
      </c>
      <c r="F467" s="352">
        <v>10.5</v>
      </c>
      <c r="G467" s="352" t="s">
        <v>689</v>
      </c>
      <c r="H467" s="352" t="s">
        <v>690</v>
      </c>
      <c r="I467" s="343"/>
    </row>
    <row r="468" spans="1:9" s="345" customFormat="1" ht="15">
      <c r="A468" s="339"/>
      <c r="B468" s="355" t="s">
        <v>880</v>
      </c>
      <c r="C468" s="351">
        <v>66.0933</v>
      </c>
      <c r="D468" s="344" t="s">
        <v>688</v>
      </c>
      <c r="E468" s="352" t="s">
        <v>285</v>
      </c>
      <c r="F468" s="352">
        <v>10.5</v>
      </c>
      <c r="G468" s="352" t="s">
        <v>689</v>
      </c>
      <c r="H468" s="352" t="s">
        <v>690</v>
      </c>
      <c r="I468" s="343"/>
    </row>
    <row r="469" spans="1:9" s="345" customFormat="1" ht="15">
      <c r="A469" s="414"/>
      <c r="B469" s="355" t="s">
        <v>896</v>
      </c>
      <c r="C469" s="351">
        <v>60.19902</v>
      </c>
      <c r="D469" s="344" t="s">
        <v>688</v>
      </c>
      <c r="E469" s="346" t="s">
        <v>285</v>
      </c>
      <c r="F469" s="352">
        <v>10.5</v>
      </c>
      <c r="G469" s="352" t="s">
        <v>689</v>
      </c>
      <c r="H469" s="352" t="s">
        <v>690</v>
      </c>
      <c r="I469" s="415"/>
    </row>
    <row r="470" spans="1:9" s="345" customFormat="1" ht="15">
      <c r="A470" s="339"/>
      <c r="B470" s="340" t="s">
        <v>879</v>
      </c>
      <c r="C470" s="351">
        <v>46.7748</v>
      </c>
      <c r="D470" s="344" t="s">
        <v>688</v>
      </c>
      <c r="E470" s="341" t="s">
        <v>285</v>
      </c>
      <c r="F470" s="352">
        <v>10.5</v>
      </c>
      <c r="G470" s="352" t="s">
        <v>689</v>
      </c>
      <c r="H470" s="352" t="s">
        <v>690</v>
      </c>
      <c r="I470" s="343"/>
    </row>
    <row r="471" spans="1:9" s="345" customFormat="1" ht="15">
      <c r="A471" s="339" t="s">
        <v>617</v>
      </c>
      <c r="B471" s="340" t="s">
        <v>964</v>
      </c>
      <c r="C471" s="341">
        <v>2.106</v>
      </c>
      <c r="D471" s="371" t="s">
        <v>724</v>
      </c>
      <c r="E471" s="346" t="s">
        <v>285</v>
      </c>
      <c r="F471" s="346">
        <v>10.75</v>
      </c>
      <c r="G471" s="346" t="s">
        <v>725</v>
      </c>
      <c r="H471" s="346" t="s">
        <v>726</v>
      </c>
      <c r="I471" s="343"/>
    </row>
    <row r="472" spans="1:9" s="345" customFormat="1" ht="30">
      <c r="A472" s="339"/>
      <c r="B472" s="340" t="s">
        <v>965</v>
      </c>
      <c r="C472" s="341">
        <v>4.194</v>
      </c>
      <c r="D472" s="340" t="s">
        <v>724</v>
      </c>
      <c r="E472" s="346" t="s">
        <v>285</v>
      </c>
      <c r="F472" s="346">
        <v>10.75</v>
      </c>
      <c r="G472" s="346" t="s">
        <v>725</v>
      </c>
      <c r="H472" s="346" t="s">
        <v>726</v>
      </c>
      <c r="I472" s="343"/>
    </row>
    <row r="473" spans="1:9" s="345" customFormat="1" ht="15">
      <c r="A473" s="339"/>
      <c r="B473" s="340" t="s">
        <v>727</v>
      </c>
      <c r="C473" s="341">
        <v>4.5</v>
      </c>
      <c r="D473" s="340" t="s">
        <v>724</v>
      </c>
      <c r="E473" s="346" t="s">
        <v>285</v>
      </c>
      <c r="F473" s="346">
        <v>10.75</v>
      </c>
      <c r="G473" s="346" t="s">
        <v>725</v>
      </c>
      <c r="H473" s="346" t="s">
        <v>726</v>
      </c>
      <c r="I473" s="343"/>
    </row>
    <row r="474" spans="1:9" s="345" customFormat="1" ht="15">
      <c r="A474" s="339"/>
      <c r="B474" s="340" t="s">
        <v>728</v>
      </c>
      <c r="C474" s="341">
        <v>6.3</v>
      </c>
      <c r="D474" s="340" t="s">
        <v>724</v>
      </c>
      <c r="E474" s="346" t="s">
        <v>285</v>
      </c>
      <c r="F474" s="346">
        <v>10.75</v>
      </c>
      <c r="G474" s="346" t="s">
        <v>725</v>
      </c>
      <c r="H474" s="346" t="s">
        <v>726</v>
      </c>
      <c r="I474" s="343"/>
    </row>
    <row r="475" spans="1:9" s="345" customFormat="1" ht="30">
      <c r="A475" s="339"/>
      <c r="B475" s="340" t="s">
        <v>966</v>
      </c>
      <c r="C475" s="341">
        <v>8.739</v>
      </c>
      <c r="D475" s="340" t="s">
        <v>724</v>
      </c>
      <c r="E475" s="346" t="s">
        <v>285</v>
      </c>
      <c r="F475" s="346">
        <v>10.75</v>
      </c>
      <c r="G475" s="346" t="s">
        <v>725</v>
      </c>
      <c r="H475" s="346" t="s">
        <v>726</v>
      </c>
      <c r="I475" s="343"/>
    </row>
    <row r="476" spans="1:9" s="345" customFormat="1" ht="30">
      <c r="A476" s="339"/>
      <c r="B476" s="340" t="s">
        <v>967</v>
      </c>
      <c r="C476" s="341">
        <v>4.194</v>
      </c>
      <c r="D476" s="340" t="s">
        <v>724</v>
      </c>
      <c r="E476" s="346" t="s">
        <v>285</v>
      </c>
      <c r="F476" s="346">
        <v>10.75</v>
      </c>
      <c r="G476" s="346" t="s">
        <v>725</v>
      </c>
      <c r="H476" s="346" t="s">
        <v>726</v>
      </c>
      <c r="I476" s="343"/>
    </row>
    <row r="477" spans="1:9" s="345" customFormat="1" ht="30">
      <c r="A477" s="339"/>
      <c r="B477" s="340" t="s">
        <v>968</v>
      </c>
      <c r="C477" s="341">
        <v>0.936</v>
      </c>
      <c r="D477" s="340" t="s">
        <v>724</v>
      </c>
      <c r="E477" s="346" t="s">
        <v>285</v>
      </c>
      <c r="F477" s="346">
        <v>10.75</v>
      </c>
      <c r="G477" s="346" t="s">
        <v>725</v>
      </c>
      <c r="H477" s="346" t="s">
        <v>726</v>
      </c>
      <c r="I477" s="343"/>
    </row>
    <row r="478" spans="1:9" s="345" customFormat="1" ht="15">
      <c r="A478" s="339"/>
      <c r="B478" s="340" t="s">
        <v>902</v>
      </c>
      <c r="C478" s="341">
        <v>1.728</v>
      </c>
      <c r="D478" s="340" t="s">
        <v>724</v>
      </c>
      <c r="E478" s="346" t="s">
        <v>285</v>
      </c>
      <c r="F478" s="346">
        <v>10.75</v>
      </c>
      <c r="G478" s="346" t="s">
        <v>725</v>
      </c>
      <c r="H478" s="346" t="s">
        <v>726</v>
      </c>
      <c r="I478" s="343"/>
    </row>
    <row r="479" spans="1:9" s="345" customFormat="1" ht="30">
      <c r="A479" s="339"/>
      <c r="B479" s="340" t="s">
        <v>969</v>
      </c>
      <c r="C479" s="341">
        <v>0.7290000000000001</v>
      </c>
      <c r="D479" s="340" t="s">
        <v>724</v>
      </c>
      <c r="E479" s="346" t="s">
        <v>285</v>
      </c>
      <c r="F479" s="346">
        <v>10.75</v>
      </c>
      <c r="G479" s="346" t="s">
        <v>725</v>
      </c>
      <c r="H479" s="346" t="s">
        <v>726</v>
      </c>
      <c r="I479" s="343"/>
    </row>
    <row r="480" spans="1:9" s="345" customFormat="1" ht="30">
      <c r="A480" s="339"/>
      <c r="B480" s="340" t="s">
        <v>970</v>
      </c>
      <c r="C480" s="341">
        <v>2.25</v>
      </c>
      <c r="D480" s="340" t="s">
        <v>724</v>
      </c>
      <c r="E480" s="346" t="s">
        <v>285</v>
      </c>
      <c r="F480" s="346">
        <v>10.75</v>
      </c>
      <c r="G480" s="346" t="s">
        <v>725</v>
      </c>
      <c r="H480" s="346" t="s">
        <v>726</v>
      </c>
      <c r="I480" s="343"/>
    </row>
    <row r="481" spans="1:9" s="345" customFormat="1" ht="30">
      <c r="A481" s="339"/>
      <c r="B481" s="340" t="s">
        <v>971</v>
      </c>
      <c r="C481" s="341">
        <v>0.396</v>
      </c>
      <c r="D481" s="340" t="s">
        <v>724</v>
      </c>
      <c r="E481" s="346" t="s">
        <v>285</v>
      </c>
      <c r="F481" s="346">
        <v>10.75</v>
      </c>
      <c r="G481" s="346" t="s">
        <v>725</v>
      </c>
      <c r="H481" s="346" t="s">
        <v>726</v>
      </c>
      <c r="I481" s="343"/>
    </row>
    <row r="482" spans="1:9" s="345" customFormat="1" ht="30">
      <c r="A482" s="339"/>
      <c r="B482" s="340" t="s">
        <v>904</v>
      </c>
      <c r="C482" s="341">
        <v>2.664</v>
      </c>
      <c r="D482" s="340" t="s">
        <v>724</v>
      </c>
      <c r="E482" s="346" t="s">
        <v>285</v>
      </c>
      <c r="F482" s="346">
        <v>10.75</v>
      </c>
      <c r="G482" s="346" t="s">
        <v>725</v>
      </c>
      <c r="H482" s="346" t="s">
        <v>726</v>
      </c>
      <c r="I482" s="343"/>
    </row>
    <row r="483" spans="1:9" s="345" customFormat="1" ht="15">
      <c r="A483" s="339"/>
      <c r="B483" s="340" t="s">
        <v>905</v>
      </c>
      <c r="C483" s="341">
        <v>0.756</v>
      </c>
      <c r="D483" s="340" t="s">
        <v>724</v>
      </c>
      <c r="E483" s="346" t="s">
        <v>285</v>
      </c>
      <c r="F483" s="346">
        <v>10.75</v>
      </c>
      <c r="G483" s="346" t="s">
        <v>725</v>
      </c>
      <c r="H483" s="346" t="s">
        <v>726</v>
      </c>
      <c r="I483" s="343"/>
    </row>
    <row r="484" spans="1:9" s="345" customFormat="1" ht="15">
      <c r="A484" s="339"/>
      <c r="B484" s="340" t="s">
        <v>813</v>
      </c>
      <c r="C484" s="341">
        <v>7.173</v>
      </c>
      <c r="D484" s="340" t="s">
        <v>724</v>
      </c>
      <c r="E484" s="346" t="s">
        <v>285</v>
      </c>
      <c r="F484" s="346">
        <v>10.75</v>
      </c>
      <c r="G484" s="346" t="s">
        <v>725</v>
      </c>
      <c r="H484" s="346" t="s">
        <v>726</v>
      </c>
      <c r="I484" s="343"/>
    </row>
    <row r="485" spans="1:9" s="345" customFormat="1" ht="15">
      <c r="A485" s="339"/>
      <c r="B485" s="340" t="s">
        <v>972</v>
      </c>
      <c r="C485" s="341">
        <v>16.146</v>
      </c>
      <c r="D485" s="340" t="s">
        <v>724</v>
      </c>
      <c r="E485" s="346" t="s">
        <v>285</v>
      </c>
      <c r="F485" s="346">
        <v>10.75</v>
      </c>
      <c r="G485" s="346" t="s">
        <v>725</v>
      </c>
      <c r="H485" s="346" t="s">
        <v>726</v>
      </c>
      <c r="I485" s="343"/>
    </row>
    <row r="486" spans="1:9" s="345" customFormat="1" ht="15">
      <c r="A486" s="339"/>
      <c r="B486" s="340" t="s">
        <v>973</v>
      </c>
      <c r="C486" s="341">
        <v>45.531000000000006</v>
      </c>
      <c r="D486" s="340" t="s">
        <v>724</v>
      </c>
      <c r="E486" s="346" t="s">
        <v>285</v>
      </c>
      <c r="F486" s="346">
        <v>10.75</v>
      </c>
      <c r="G486" s="346" t="s">
        <v>725</v>
      </c>
      <c r="H486" s="346" t="s">
        <v>726</v>
      </c>
      <c r="I486" s="343"/>
    </row>
    <row r="487" spans="1:9" s="345" customFormat="1" ht="15">
      <c r="A487" s="339"/>
      <c r="B487" s="340" t="s">
        <v>974</v>
      </c>
      <c r="C487" s="341">
        <v>0.279</v>
      </c>
      <c r="D487" s="340" t="s">
        <v>724</v>
      </c>
      <c r="E487" s="346" t="s">
        <v>285</v>
      </c>
      <c r="F487" s="346">
        <v>10.75</v>
      </c>
      <c r="G487" s="346" t="s">
        <v>725</v>
      </c>
      <c r="H487" s="346" t="s">
        <v>726</v>
      </c>
      <c r="I487" s="343"/>
    </row>
    <row r="488" spans="1:9" s="345" customFormat="1" ht="15">
      <c r="A488" s="339"/>
      <c r="B488" s="340" t="s">
        <v>975</v>
      </c>
      <c r="C488" s="341">
        <v>0.6030000000000001</v>
      </c>
      <c r="D488" s="340" t="s">
        <v>724</v>
      </c>
      <c r="E488" s="346" t="s">
        <v>285</v>
      </c>
      <c r="F488" s="346">
        <v>10.75</v>
      </c>
      <c r="G488" s="346" t="s">
        <v>725</v>
      </c>
      <c r="H488" s="346" t="s">
        <v>726</v>
      </c>
      <c r="I488" s="343"/>
    </row>
    <row r="489" spans="1:9" s="345" customFormat="1" ht="15">
      <c r="A489" s="339"/>
      <c r="B489" s="340" t="s">
        <v>976</v>
      </c>
      <c r="C489" s="341">
        <v>0.48600000000000004</v>
      </c>
      <c r="D489" s="340" t="s">
        <v>724</v>
      </c>
      <c r="E489" s="346" t="s">
        <v>285</v>
      </c>
      <c r="F489" s="346">
        <v>10.75</v>
      </c>
      <c r="G489" s="346" t="s">
        <v>725</v>
      </c>
      <c r="H489" s="346" t="s">
        <v>726</v>
      </c>
      <c r="I489" s="343"/>
    </row>
    <row r="490" spans="1:9" s="345" customFormat="1" ht="15">
      <c r="A490" s="339"/>
      <c r="B490" s="340" t="s">
        <v>977</v>
      </c>
      <c r="C490" s="341">
        <v>11.700000000000001</v>
      </c>
      <c r="D490" s="340" t="s">
        <v>724</v>
      </c>
      <c r="E490" s="346" t="s">
        <v>285</v>
      </c>
      <c r="F490" s="346">
        <v>10.75</v>
      </c>
      <c r="G490" s="346" t="s">
        <v>725</v>
      </c>
      <c r="H490" s="346" t="s">
        <v>726</v>
      </c>
      <c r="I490" s="343"/>
    </row>
    <row r="491" spans="1:9" s="345" customFormat="1" ht="15">
      <c r="A491" s="339"/>
      <c r="B491" s="340" t="s">
        <v>978</v>
      </c>
      <c r="C491" s="341">
        <v>2.25</v>
      </c>
      <c r="D491" s="340" t="s">
        <v>724</v>
      </c>
      <c r="E491" s="346" t="s">
        <v>285</v>
      </c>
      <c r="F491" s="346">
        <v>10.75</v>
      </c>
      <c r="G491" s="346" t="s">
        <v>725</v>
      </c>
      <c r="H491" s="346" t="s">
        <v>726</v>
      </c>
      <c r="I491" s="343"/>
    </row>
    <row r="492" spans="1:9" s="345" customFormat="1" ht="15">
      <c r="A492" s="339"/>
      <c r="B492" s="340" t="s">
        <v>979</v>
      </c>
      <c r="C492" s="341">
        <v>2.25</v>
      </c>
      <c r="D492" s="340" t="s">
        <v>724</v>
      </c>
      <c r="E492" s="346" t="s">
        <v>285</v>
      </c>
      <c r="F492" s="346">
        <v>10.75</v>
      </c>
      <c r="G492" s="346" t="s">
        <v>725</v>
      </c>
      <c r="H492" s="346" t="s">
        <v>726</v>
      </c>
      <c r="I492" s="343"/>
    </row>
    <row r="493" spans="1:9" s="345" customFormat="1" ht="15">
      <c r="A493" s="339"/>
      <c r="B493" s="340" t="s">
        <v>980</v>
      </c>
      <c r="C493" s="341">
        <v>2.7</v>
      </c>
      <c r="D493" s="340" t="s">
        <v>724</v>
      </c>
      <c r="E493" s="346" t="s">
        <v>285</v>
      </c>
      <c r="F493" s="346">
        <v>10.75</v>
      </c>
      <c r="G493" s="346" t="s">
        <v>725</v>
      </c>
      <c r="H493" s="346" t="s">
        <v>726</v>
      </c>
      <c r="I493" s="343"/>
    </row>
    <row r="494" spans="1:9" s="345" customFormat="1" ht="15">
      <c r="A494" s="339"/>
      <c r="B494" s="340" t="s">
        <v>981</v>
      </c>
      <c r="C494" s="341">
        <v>2.61</v>
      </c>
      <c r="D494" s="340" t="s">
        <v>724</v>
      </c>
      <c r="E494" s="346" t="s">
        <v>285</v>
      </c>
      <c r="F494" s="346">
        <v>10.75</v>
      </c>
      <c r="G494" s="346" t="s">
        <v>725</v>
      </c>
      <c r="H494" s="346" t="s">
        <v>726</v>
      </c>
      <c r="I494" s="343"/>
    </row>
    <row r="495" spans="1:9" s="345" customFormat="1" ht="15">
      <c r="A495" s="339"/>
      <c r="B495" s="340" t="s">
        <v>982</v>
      </c>
      <c r="C495" s="341">
        <v>2.25</v>
      </c>
      <c r="D495" s="340" t="s">
        <v>724</v>
      </c>
      <c r="E495" s="346" t="s">
        <v>285</v>
      </c>
      <c r="F495" s="346">
        <v>10.75</v>
      </c>
      <c r="G495" s="346" t="s">
        <v>725</v>
      </c>
      <c r="H495" s="346" t="s">
        <v>726</v>
      </c>
      <c r="I495" s="343"/>
    </row>
    <row r="496" spans="1:9" s="345" customFormat="1" ht="15">
      <c r="A496" s="339"/>
      <c r="B496" s="340" t="s">
        <v>983</v>
      </c>
      <c r="C496" s="341">
        <v>14.4</v>
      </c>
      <c r="D496" s="340" t="s">
        <v>724</v>
      </c>
      <c r="E496" s="346" t="s">
        <v>285</v>
      </c>
      <c r="F496" s="346">
        <v>10.75</v>
      </c>
      <c r="G496" s="346" t="s">
        <v>725</v>
      </c>
      <c r="H496" s="346" t="s">
        <v>726</v>
      </c>
      <c r="I496" s="343"/>
    </row>
    <row r="497" spans="1:9" s="345" customFormat="1" ht="15">
      <c r="A497" s="339"/>
      <c r="B497" s="340" t="s">
        <v>984</v>
      </c>
      <c r="C497" s="341">
        <v>2.25</v>
      </c>
      <c r="D497" s="340" t="s">
        <v>724</v>
      </c>
      <c r="E497" s="346" t="s">
        <v>285</v>
      </c>
      <c r="F497" s="346">
        <v>10.75</v>
      </c>
      <c r="G497" s="346" t="s">
        <v>725</v>
      </c>
      <c r="H497" s="346" t="s">
        <v>726</v>
      </c>
      <c r="I497" s="343"/>
    </row>
    <row r="498" spans="1:9" s="345" customFormat="1" ht="15">
      <c r="A498" s="339"/>
      <c r="B498" s="355" t="s">
        <v>985</v>
      </c>
      <c r="C498" s="341">
        <v>112.392</v>
      </c>
      <c r="D498" s="355" t="s">
        <v>688</v>
      </c>
      <c r="E498" s="343" t="s">
        <v>285</v>
      </c>
      <c r="F498" s="346">
        <v>10.75</v>
      </c>
      <c r="G498" s="346" t="s">
        <v>725</v>
      </c>
      <c r="H498" s="346" t="s">
        <v>726</v>
      </c>
      <c r="I498" s="343"/>
    </row>
    <row r="499" spans="1:9" s="345" customFormat="1" ht="15">
      <c r="A499" s="339"/>
      <c r="B499" s="357" t="s">
        <v>102</v>
      </c>
      <c r="C499" s="358">
        <f>SUM(C411:C498)</f>
        <v>2614.625999999998</v>
      </c>
      <c r="D499" s="359"/>
      <c r="E499" s="359"/>
      <c r="F499" s="359"/>
      <c r="G499" s="359"/>
      <c r="H499" s="359"/>
      <c r="I499" s="359"/>
    </row>
    <row r="500" spans="1:9" ht="15">
      <c r="A500" s="334"/>
      <c r="B500" s="416"/>
      <c r="C500" s="362"/>
      <c r="D500" s="416"/>
      <c r="E500" s="416"/>
      <c r="F500" s="416"/>
      <c r="G500" s="416"/>
      <c r="H500" s="416"/>
      <c r="I500" s="416"/>
    </row>
  </sheetData>
  <sheetProtection/>
  <protectedRanges>
    <protectedRange sqref="B6:I33" name="Form 1.1g 1_3"/>
    <protectedRange sqref="B34:B61 D34:I61" name="Form 1.1g 1_4"/>
    <protectedRange sqref="B62:I68" name="Form 1.1g 1_1"/>
    <protectedRange sqref="B69:I69" name="Form 1.1g 1_2"/>
    <protectedRange sqref="D80:D82 D85:D86 D92 D77:E77 E79 E86 F93:I99 B93:D99" name="Form 1.1g 1_5"/>
    <protectedRange sqref="F128:H129 B100:B129 I100:I129 D100:E129" name="Form 1.1g 1_6"/>
    <protectedRange sqref="B130:I147" name="Form 1.1g 1_7"/>
    <protectedRange sqref="B148:I148" name="Form 1.1g 1_8"/>
    <protectedRange sqref="B246:I260" name="Form 1.1g 1_9"/>
    <protectedRange sqref="B261:B289 D261:I289" name="Form 1.1g 1_10"/>
    <protectedRange sqref="B290:I313" name="Form 1.1g 1_13"/>
    <protectedRange sqref="B314:I314" name="Form 1.1g 1_14"/>
    <protectedRange sqref="D320:D322 D326:D328 E321:E330" name="Form 1.1g 1_15"/>
    <protectedRange sqref="B332:B380 D332:I380" name="Form 1.1g 1_16"/>
    <protectedRange sqref="B381:I404" name="Form 1.1g 1_17"/>
    <protectedRange sqref="B405:I405" name="Form 1.1g 1_18"/>
    <protectedRange sqref="B411:I415" name="Form 1.1g 1_19"/>
    <protectedRange sqref="B416:B468 E416:I468 D416:D470" name="Form 1.1g 1_20"/>
    <protectedRange sqref="B471:I497" name="Form 1.1g 1_21"/>
    <protectedRange sqref="B498:I498" name="Form 1.1g 1_22"/>
    <protectedRange sqref="F161:I161 E162:I173 E154:I160 B154:D173" name="Form 1.1g 1_23"/>
    <protectedRange sqref="B174:B210 D174:I210" name="Form 1.1g 1_24"/>
    <protectedRange sqref="B211:I239" name="Form 1.1g 1_11"/>
    <protectedRange sqref="B240:I240" name="Form 1.1g 1_11_1"/>
  </protectedRanges>
  <dataValidations count="1">
    <dataValidation type="decimal" allowBlank="1" showInputMessage="1" showErrorMessage="1" sqref="E331">
      <formula1>-1000000000000000000</formula1>
      <formula2>10000000000000000000</formula2>
    </dataValidation>
  </dataValidations>
  <printOptions horizontalCentered="1"/>
  <pageMargins left="0.98" right="0.578739063867017" top="0.986219379" bottom="0.486219378827647" header="0" footer="0"/>
  <pageSetup horizontalDpi="600" verticalDpi="600" orientation="landscape" paperSize="9" scale="49" r:id="rId1"/>
  <rowBreaks count="6" manualBreakCount="6">
    <brk id="70" max="255" man="1"/>
    <brk id="106" max="255" man="1"/>
    <brk id="150" max="255" man="1"/>
    <brk id="241" max="255" man="1"/>
    <brk id="315" max="255" man="1"/>
    <brk id="406" max="255" man="1"/>
  </rowBreaks>
</worksheet>
</file>

<file path=xl/worksheets/sheet16.xml><?xml version="1.0" encoding="utf-8"?>
<worksheet xmlns="http://schemas.openxmlformats.org/spreadsheetml/2006/main" xmlns:r="http://schemas.openxmlformats.org/officeDocument/2006/relationships">
  <dimension ref="A1:W93"/>
  <sheetViews>
    <sheetView zoomScalePageLayoutView="0" workbookViewId="0" topLeftCell="A7">
      <selection activeCell="A10" sqref="A10"/>
    </sheetView>
  </sheetViews>
  <sheetFormatPr defaultColWidth="9.140625" defaultRowHeight="12.75"/>
  <cols>
    <col min="1" max="1" width="8.57421875" style="0" customWidth="1"/>
    <col min="2" max="2" width="12.140625" style="0" customWidth="1"/>
    <col min="3" max="3" width="7.7109375" style="0" bestFit="1" customWidth="1"/>
    <col min="5" max="5" width="6.8515625" style="0" bestFit="1" customWidth="1"/>
    <col min="6" max="6" width="8.7109375" style="0" bestFit="1" customWidth="1"/>
    <col min="7" max="7" width="8.28125" style="0" bestFit="1" customWidth="1"/>
    <col min="8" max="8" width="9.8515625" style="0" customWidth="1"/>
    <col min="9" max="10" width="8.421875" style="0" bestFit="1" customWidth="1"/>
    <col min="11" max="11" width="10.28125" style="0" customWidth="1"/>
    <col min="12" max="12" width="4.7109375" style="0" customWidth="1"/>
    <col min="19" max="20" width="8.421875" style="0" bestFit="1" customWidth="1"/>
    <col min="21" max="21" width="5.8515625" style="0" bestFit="1" customWidth="1"/>
    <col min="22" max="22" width="5.140625" style="0" bestFit="1" customWidth="1"/>
    <col min="23" max="23" width="8.140625" style="0" bestFit="1" customWidth="1"/>
  </cols>
  <sheetData>
    <row r="1" spans="1:23" ht="12.75">
      <c r="A1" s="10"/>
      <c r="B1" s="10"/>
      <c r="C1" s="10"/>
      <c r="D1" s="10"/>
      <c r="E1" s="10"/>
      <c r="F1" s="10"/>
      <c r="G1" s="10"/>
      <c r="H1" s="10"/>
      <c r="I1" s="10"/>
      <c r="J1" s="10"/>
      <c r="K1" s="10"/>
      <c r="L1" s="10"/>
      <c r="M1" s="10"/>
      <c r="N1" s="10"/>
      <c r="O1" s="10"/>
      <c r="P1" s="10"/>
      <c r="Q1" s="10"/>
      <c r="R1" s="10"/>
      <c r="S1" s="10"/>
      <c r="T1" s="10"/>
      <c r="U1" s="15"/>
      <c r="V1" s="15"/>
      <c r="W1" s="15"/>
    </row>
    <row r="2" spans="1:23" ht="12.75">
      <c r="A2" s="23" t="s">
        <v>249</v>
      </c>
      <c r="B2" s="10"/>
      <c r="C2" s="23"/>
      <c r="D2" s="23"/>
      <c r="E2" s="23"/>
      <c r="F2" s="23"/>
      <c r="G2" s="23"/>
      <c r="H2" s="23"/>
      <c r="I2" s="23"/>
      <c r="J2" s="23"/>
      <c r="K2" s="23"/>
      <c r="L2" s="23"/>
      <c r="M2" s="23"/>
      <c r="N2" s="23"/>
      <c r="O2" s="23"/>
      <c r="P2" s="23"/>
      <c r="Q2" s="23"/>
      <c r="R2" s="23"/>
      <c r="S2" s="23"/>
      <c r="T2" s="23"/>
      <c r="U2" s="15"/>
      <c r="V2" s="15"/>
      <c r="W2" s="15"/>
    </row>
    <row r="3" spans="1:23" ht="12.75">
      <c r="A3" s="32" t="s">
        <v>250</v>
      </c>
      <c r="B3" s="10"/>
      <c r="C3" s="23"/>
      <c r="D3" s="23"/>
      <c r="E3" s="23"/>
      <c r="F3" s="23"/>
      <c r="G3" s="23"/>
      <c r="H3" s="23"/>
      <c r="I3" s="23"/>
      <c r="J3" s="23"/>
      <c r="K3" s="23"/>
      <c r="L3" s="23"/>
      <c r="M3" s="23"/>
      <c r="N3" s="23"/>
      <c r="O3" s="23"/>
      <c r="P3" s="23"/>
      <c r="Q3" s="23"/>
      <c r="R3" s="23"/>
      <c r="S3" s="23"/>
      <c r="T3" s="23"/>
      <c r="U3" s="15"/>
      <c r="V3" s="15"/>
      <c r="W3" s="15"/>
    </row>
    <row r="4" spans="1:23" ht="12.75">
      <c r="A4" s="28"/>
      <c r="B4" s="10"/>
      <c r="C4" s="23"/>
      <c r="D4" s="23"/>
      <c r="E4" s="23"/>
      <c r="F4" s="23"/>
      <c r="G4" s="23"/>
      <c r="H4" s="23"/>
      <c r="I4" s="23"/>
      <c r="J4" s="23"/>
      <c r="K4" s="23"/>
      <c r="L4" s="23"/>
      <c r="M4" s="23"/>
      <c r="N4" s="23"/>
      <c r="O4" s="23"/>
      <c r="P4" s="23"/>
      <c r="Q4" s="23"/>
      <c r="R4" s="23"/>
      <c r="S4" s="23"/>
      <c r="T4" s="23"/>
      <c r="U4" s="15"/>
      <c r="V4" s="15"/>
      <c r="W4" s="15"/>
    </row>
    <row r="5" spans="1:23" ht="12.75">
      <c r="A5" s="10"/>
      <c r="B5" s="81"/>
      <c r="C5" s="81"/>
      <c r="D5" s="81"/>
      <c r="E5" s="81"/>
      <c r="F5" s="81"/>
      <c r="G5" s="81"/>
      <c r="H5" s="81"/>
      <c r="I5" s="81"/>
      <c r="J5" s="81"/>
      <c r="K5" s="81"/>
      <c r="L5" s="81"/>
      <c r="M5" s="81"/>
      <c r="N5" s="81"/>
      <c r="O5" s="81"/>
      <c r="P5" s="81"/>
      <c r="Q5" s="81"/>
      <c r="R5" s="81"/>
      <c r="S5" s="81"/>
      <c r="T5" s="81"/>
      <c r="U5" s="15"/>
      <c r="V5" s="15"/>
      <c r="W5" s="15"/>
    </row>
    <row r="6" spans="1:23" ht="12.75">
      <c r="A6" s="297" t="s">
        <v>23</v>
      </c>
      <c r="B6" s="10"/>
      <c r="C6" s="10"/>
      <c r="D6" s="10"/>
      <c r="E6" s="9"/>
      <c r="F6" s="10"/>
      <c r="G6" s="10"/>
      <c r="H6" s="10"/>
      <c r="I6" s="10"/>
      <c r="J6" s="10"/>
      <c r="K6" s="10"/>
      <c r="L6" s="10"/>
      <c r="M6" s="10"/>
      <c r="N6" s="10"/>
      <c r="O6" s="10"/>
      <c r="P6" s="10"/>
      <c r="Q6" s="85" t="s">
        <v>251</v>
      </c>
      <c r="R6" s="85"/>
      <c r="S6" s="85"/>
      <c r="T6" s="10"/>
      <c r="U6" s="15"/>
      <c r="V6" s="15"/>
      <c r="W6" s="15"/>
    </row>
    <row r="7" spans="1:23" s="86" customFormat="1" ht="56.25">
      <c r="A7" s="272" t="s">
        <v>252</v>
      </c>
      <c r="B7" s="272" t="s">
        <v>253</v>
      </c>
      <c r="C7" s="272" t="s">
        <v>275</v>
      </c>
      <c r="D7" s="272" t="s">
        <v>254</v>
      </c>
      <c r="E7" s="272" t="s">
        <v>255</v>
      </c>
      <c r="F7" s="272" t="s">
        <v>256</v>
      </c>
      <c r="G7" s="272" t="s">
        <v>257</v>
      </c>
      <c r="H7" s="272" t="s">
        <v>258</v>
      </c>
      <c r="I7" s="272" t="s">
        <v>259</v>
      </c>
      <c r="J7" s="272" t="s">
        <v>260</v>
      </c>
      <c r="K7" s="272" t="s">
        <v>261</v>
      </c>
      <c r="L7" s="272" t="s">
        <v>262</v>
      </c>
      <c r="M7" s="272" t="s">
        <v>263</v>
      </c>
      <c r="N7" s="272" t="s">
        <v>264</v>
      </c>
      <c r="O7" s="272" t="s">
        <v>265</v>
      </c>
      <c r="P7" s="272" t="s">
        <v>266</v>
      </c>
      <c r="Q7" s="273" t="s">
        <v>267</v>
      </c>
      <c r="R7" s="270" t="s">
        <v>268</v>
      </c>
      <c r="S7" s="272" t="s">
        <v>269</v>
      </c>
      <c r="T7" s="272" t="s">
        <v>270</v>
      </c>
      <c r="U7" s="274" t="s">
        <v>271</v>
      </c>
      <c r="V7" s="274" t="s">
        <v>272</v>
      </c>
      <c r="W7" s="274" t="s">
        <v>107</v>
      </c>
    </row>
    <row r="8" spans="1:23" ht="12.75">
      <c r="A8" s="34" t="s">
        <v>273</v>
      </c>
      <c r="B8" s="7"/>
      <c r="C8" s="7"/>
      <c r="D8" s="7"/>
      <c r="E8" s="7"/>
      <c r="F8" s="7"/>
      <c r="G8" s="7"/>
      <c r="H8" s="7"/>
      <c r="I8" s="7"/>
      <c r="J8" s="7"/>
      <c r="K8" s="7"/>
      <c r="L8" s="7"/>
      <c r="M8" s="7"/>
      <c r="N8" s="7"/>
      <c r="O8" s="7"/>
      <c r="P8" s="7"/>
      <c r="Q8" s="7"/>
      <c r="R8" s="7"/>
      <c r="S8" s="7"/>
      <c r="T8" s="7"/>
      <c r="U8" s="7"/>
      <c r="V8" s="7"/>
      <c r="W8" s="7"/>
    </row>
    <row r="9" spans="1:23" ht="12.75">
      <c r="A9" s="7"/>
      <c r="B9" s="7"/>
      <c r="C9" s="7"/>
      <c r="D9" s="7"/>
      <c r="E9" s="7"/>
      <c r="F9" s="7"/>
      <c r="G9" s="64"/>
      <c r="H9" s="7"/>
      <c r="I9" s="7"/>
      <c r="J9" s="7"/>
      <c r="K9" s="7"/>
      <c r="L9" s="7"/>
      <c r="M9" s="7"/>
      <c r="N9" s="7"/>
      <c r="O9" s="7"/>
      <c r="P9" s="13">
        <f>+M9+N9-O9</f>
        <v>0</v>
      </c>
      <c r="Q9" s="7"/>
      <c r="R9" s="7"/>
      <c r="S9" s="7"/>
      <c r="T9" s="7"/>
      <c r="U9" s="7"/>
      <c r="V9" s="7"/>
      <c r="W9" s="7"/>
    </row>
    <row r="10" spans="1:23" ht="12.75">
      <c r="A10" s="7"/>
      <c r="B10" s="7"/>
      <c r="C10" s="7"/>
      <c r="D10" s="7"/>
      <c r="E10" s="7"/>
      <c r="F10" s="7"/>
      <c r="G10" s="64"/>
      <c r="H10" s="7"/>
      <c r="I10" s="7"/>
      <c r="J10" s="7"/>
      <c r="K10" s="7"/>
      <c r="L10" s="7"/>
      <c r="M10" s="7"/>
      <c r="N10" s="7"/>
      <c r="O10" s="7"/>
      <c r="P10" s="13">
        <f>+M10+N10-O10</f>
        <v>0</v>
      </c>
      <c r="Q10" s="7"/>
      <c r="R10" s="7"/>
      <c r="S10" s="7"/>
      <c r="T10" s="7"/>
      <c r="U10" s="7"/>
      <c r="V10" s="7"/>
      <c r="W10" s="7"/>
    </row>
    <row r="11" spans="1:23" ht="12.75">
      <c r="A11" s="7"/>
      <c r="B11" s="7"/>
      <c r="C11" s="7"/>
      <c r="D11" s="7"/>
      <c r="E11" s="7"/>
      <c r="F11" s="7"/>
      <c r="G11" s="64"/>
      <c r="H11" s="7"/>
      <c r="I11" s="7"/>
      <c r="J11" s="7"/>
      <c r="K11" s="7"/>
      <c r="L11" s="7"/>
      <c r="M11" s="7"/>
      <c r="N11" s="7"/>
      <c r="O11" s="7"/>
      <c r="P11" s="13">
        <f>+M11+N11-O11</f>
        <v>0</v>
      </c>
      <c r="Q11" s="7"/>
      <c r="R11" s="7"/>
      <c r="S11" s="7"/>
      <c r="T11" s="7"/>
      <c r="U11" s="7"/>
      <c r="V11" s="7"/>
      <c r="W11" s="7"/>
    </row>
    <row r="12" spans="1:23" ht="12.75">
      <c r="A12" s="26"/>
      <c r="B12" s="13"/>
      <c r="C12" s="7"/>
      <c r="D12" s="7"/>
      <c r="E12" s="7"/>
      <c r="F12" s="7"/>
      <c r="G12" s="7"/>
      <c r="H12" s="31">
        <f aca="true" t="shared" si="0" ref="H12:R12">SUM(H9:H11)</f>
        <v>0</v>
      </c>
      <c r="I12" s="31">
        <f t="shared" si="0"/>
        <v>0</v>
      </c>
      <c r="J12" s="31">
        <f t="shared" si="0"/>
        <v>0</v>
      </c>
      <c r="K12" s="31">
        <f t="shared" si="0"/>
        <v>0</v>
      </c>
      <c r="L12" s="31">
        <f t="shared" si="0"/>
        <v>0</v>
      </c>
      <c r="M12" s="31">
        <f t="shared" si="0"/>
        <v>0</v>
      </c>
      <c r="N12" s="31">
        <f t="shared" si="0"/>
        <v>0</v>
      </c>
      <c r="O12" s="31">
        <f t="shared" si="0"/>
        <v>0</v>
      </c>
      <c r="P12" s="31">
        <f t="shared" si="0"/>
        <v>0</v>
      </c>
      <c r="Q12" s="31">
        <f t="shared" si="0"/>
        <v>0</v>
      </c>
      <c r="R12" s="31">
        <f t="shared" si="0"/>
        <v>0</v>
      </c>
      <c r="S12" s="7"/>
      <c r="T12" s="7"/>
      <c r="U12" s="7"/>
      <c r="V12" s="7"/>
      <c r="W12" s="7"/>
    </row>
    <row r="13" spans="1:23" ht="12.75">
      <c r="A13" s="34" t="s">
        <v>274</v>
      </c>
      <c r="B13" s="7"/>
      <c r="C13" s="7"/>
      <c r="D13" s="7"/>
      <c r="E13" s="7"/>
      <c r="F13" s="7"/>
      <c r="G13" s="7"/>
      <c r="H13" s="7"/>
      <c r="I13" s="7"/>
      <c r="J13" s="7"/>
      <c r="K13" s="7"/>
      <c r="L13" s="7"/>
      <c r="M13" s="7"/>
      <c r="N13" s="7"/>
      <c r="O13" s="7"/>
      <c r="P13" s="7"/>
      <c r="Q13" s="7"/>
      <c r="R13" s="7"/>
      <c r="S13" s="7"/>
      <c r="T13" s="7"/>
      <c r="U13" s="7"/>
      <c r="V13" s="7"/>
      <c r="W13" s="7"/>
    </row>
    <row r="14" spans="1:23" ht="12.75">
      <c r="A14" s="7"/>
      <c r="B14" s="7"/>
      <c r="C14" s="7"/>
      <c r="D14" s="7"/>
      <c r="E14" s="7"/>
      <c r="F14" s="7"/>
      <c r="G14" s="64"/>
      <c r="H14" s="7"/>
      <c r="I14" s="7"/>
      <c r="J14" s="7"/>
      <c r="K14" s="7"/>
      <c r="L14" s="7"/>
      <c r="M14" s="7"/>
      <c r="N14" s="7"/>
      <c r="O14" s="7"/>
      <c r="P14" s="13">
        <f>+M14+N14-O14</f>
        <v>0</v>
      </c>
      <c r="Q14" s="7"/>
      <c r="R14" s="7"/>
      <c r="S14" s="7"/>
      <c r="T14" s="7"/>
      <c r="U14" s="7"/>
      <c r="V14" s="7"/>
      <c r="W14" s="7"/>
    </row>
    <row r="15" spans="1:23" ht="12.75">
      <c r="A15" s="7"/>
      <c r="B15" s="7"/>
      <c r="C15" s="7"/>
      <c r="D15" s="7"/>
      <c r="E15" s="7"/>
      <c r="F15" s="7"/>
      <c r="G15" s="64"/>
      <c r="H15" s="7"/>
      <c r="I15" s="7"/>
      <c r="J15" s="7"/>
      <c r="K15" s="7"/>
      <c r="L15" s="7"/>
      <c r="M15" s="7"/>
      <c r="N15" s="7"/>
      <c r="O15" s="7"/>
      <c r="P15" s="13">
        <f>+M15+N15-O15</f>
        <v>0</v>
      </c>
      <c r="Q15" s="7"/>
      <c r="R15" s="7"/>
      <c r="S15" s="7"/>
      <c r="T15" s="7"/>
      <c r="U15" s="7"/>
      <c r="V15" s="7"/>
      <c r="W15" s="7"/>
    </row>
    <row r="16" spans="1:23" ht="12.75">
      <c r="A16" s="7"/>
      <c r="B16" s="7"/>
      <c r="C16" s="7"/>
      <c r="D16" s="7"/>
      <c r="E16" s="7"/>
      <c r="F16" s="7"/>
      <c r="G16" s="64"/>
      <c r="H16" s="7"/>
      <c r="I16" s="7"/>
      <c r="J16" s="7"/>
      <c r="K16" s="7"/>
      <c r="L16" s="7"/>
      <c r="M16" s="7"/>
      <c r="N16" s="7"/>
      <c r="O16" s="7"/>
      <c r="P16" s="13">
        <f>+M16+N16-O16</f>
        <v>0</v>
      </c>
      <c r="Q16" s="7"/>
      <c r="R16" s="7"/>
      <c r="S16" s="7"/>
      <c r="T16" s="7"/>
      <c r="U16" s="7"/>
      <c r="V16" s="7"/>
      <c r="W16" s="7"/>
    </row>
    <row r="17" spans="1:23" s="14" customFormat="1" ht="12.75">
      <c r="A17" s="26"/>
      <c r="B17" s="22"/>
      <c r="C17" s="22"/>
      <c r="D17" s="22"/>
      <c r="E17" s="22"/>
      <c r="F17" s="22"/>
      <c r="G17" s="22"/>
      <c r="H17" s="31">
        <f aca="true" t="shared" si="1" ref="H17:R17">SUM(H14:H16)</f>
        <v>0</v>
      </c>
      <c r="I17" s="31">
        <f t="shared" si="1"/>
        <v>0</v>
      </c>
      <c r="J17" s="31">
        <f t="shared" si="1"/>
        <v>0</v>
      </c>
      <c r="K17" s="31">
        <f t="shared" si="1"/>
        <v>0</v>
      </c>
      <c r="L17" s="31">
        <f t="shared" si="1"/>
        <v>0</v>
      </c>
      <c r="M17" s="31">
        <f t="shared" si="1"/>
        <v>0</v>
      </c>
      <c r="N17" s="31">
        <f t="shared" si="1"/>
        <v>0</v>
      </c>
      <c r="O17" s="31">
        <f t="shared" si="1"/>
        <v>0</v>
      </c>
      <c r="P17" s="31">
        <f t="shared" si="1"/>
        <v>0</v>
      </c>
      <c r="Q17" s="31">
        <f t="shared" si="1"/>
        <v>0</v>
      </c>
      <c r="R17" s="31">
        <f t="shared" si="1"/>
        <v>0</v>
      </c>
      <c r="S17" s="22"/>
      <c r="T17" s="22"/>
      <c r="U17" s="22"/>
      <c r="V17" s="22"/>
      <c r="W17" s="22"/>
    </row>
    <row r="18" spans="1:23" s="14" customFormat="1" ht="12.75">
      <c r="A18" s="87"/>
      <c r="B18" s="22"/>
      <c r="C18" s="22"/>
      <c r="D18" s="22"/>
      <c r="E18" s="22"/>
      <c r="F18" s="22"/>
      <c r="G18" s="22"/>
      <c r="H18" s="31">
        <f aca="true" t="shared" si="2" ref="H18:R18">+H12+H17</f>
        <v>0</v>
      </c>
      <c r="I18" s="31">
        <f t="shared" si="2"/>
        <v>0</v>
      </c>
      <c r="J18" s="31">
        <f t="shared" si="2"/>
        <v>0</v>
      </c>
      <c r="K18" s="31">
        <f t="shared" si="2"/>
        <v>0</v>
      </c>
      <c r="L18" s="31">
        <f t="shared" si="2"/>
        <v>0</v>
      </c>
      <c r="M18" s="31">
        <f t="shared" si="2"/>
        <v>0</v>
      </c>
      <c r="N18" s="31">
        <f t="shared" si="2"/>
        <v>0</v>
      </c>
      <c r="O18" s="31">
        <f t="shared" si="2"/>
        <v>0</v>
      </c>
      <c r="P18" s="31">
        <f t="shared" si="2"/>
        <v>0</v>
      </c>
      <c r="Q18" s="31">
        <f t="shared" si="2"/>
        <v>0</v>
      </c>
      <c r="R18" s="31">
        <f t="shared" si="2"/>
        <v>0</v>
      </c>
      <c r="S18" s="22"/>
      <c r="T18" s="22"/>
      <c r="U18" s="22"/>
      <c r="V18" s="22"/>
      <c r="W18" s="22"/>
    </row>
    <row r="21" spans="1:23" ht="12.75">
      <c r="A21" s="297" t="s">
        <v>476</v>
      </c>
      <c r="B21" s="10"/>
      <c r="C21" s="10"/>
      <c r="D21" s="10"/>
      <c r="E21" s="9"/>
      <c r="F21" s="10"/>
      <c r="G21" s="10"/>
      <c r="H21" s="10"/>
      <c r="I21" s="10"/>
      <c r="J21" s="10"/>
      <c r="K21" s="10"/>
      <c r="L21" s="10"/>
      <c r="M21" s="10"/>
      <c r="N21" s="10"/>
      <c r="O21" s="10"/>
      <c r="P21" s="10"/>
      <c r="Q21" s="85" t="s">
        <v>251</v>
      </c>
      <c r="R21" s="85"/>
      <c r="S21" s="85"/>
      <c r="T21" s="10"/>
      <c r="U21" s="15"/>
      <c r="V21" s="15"/>
      <c r="W21" s="15"/>
    </row>
    <row r="22" spans="1:23" ht="56.25">
      <c r="A22" s="272" t="s">
        <v>252</v>
      </c>
      <c r="B22" s="272" t="s">
        <v>253</v>
      </c>
      <c r="C22" s="272" t="s">
        <v>275</v>
      </c>
      <c r="D22" s="272" t="s">
        <v>254</v>
      </c>
      <c r="E22" s="272" t="s">
        <v>255</v>
      </c>
      <c r="F22" s="272" t="s">
        <v>256</v>
      </c>
      <c r="G22" s="272" t="s">
        <v>257</v>
      </c>
      <c r="H22" s="272" t="s">
        <v>258</v>
      </c>
      <c r="I22" s="272" t="s">
        <v>259</v>
      </c>
      <c r="J22" s="272" t="s">
        <v>260</v>
      </c>
      <c r="K22" s="272" t="s">
        <v>261</v>
      </c>
      <c r="L22" s="272" t="s">
        <v>262</v>
      </c>
      <c r="M22" s="272" t="s">
        <v>263</v>
      </c>
      <c r="N22" s="272" t="s">
        <v>264</v>
      </c>
      <c r="O22" s="272" t="s">
        <v>265</v>
      </c>
      <c r="P22" s="272" t="s">
        <v>266</v>
      </c>
      <c r="Q22" s="273" t="s">
        <v>267</v>
      </c>
      <c r="R22" s="270" t="s">
        <v>268</v>
      </c>
      <c r="S22" s="272" t="s">
        <v>269</v>
      </c>
      <c r="T22" s="272" t="s">
        <v>270</v>
      </c>
      <c r="U22" s="274" t="s">
        <v>271</v>
      </c>
      <c r="V22" s="274" t="s">
        <v>272</v>
      </c>
      <c r="W22" s="274" t="s">
        <v>107</v>
      </c>
    </row>
    <row r="23" spans="1:23" ht="12.75">
      <c r="A23" s="34" t="s">
        <v>273</v>
      </c>
      <c r="B23" s="7"/>
      <c r="C23" s="7"/>
      <c r="D23" s="7"/>
      <c r="E23" s="7"/>
      <c r="F23" s="7"/>
      <c r="G23" s="7"/>
      <c r="H23" s="7"/>
      <c r="I23" s="7"/>
      <c r="J23" s="7"/>
      <c r="K23" s="7"/>
      <c r="L23" s="7"/>
      <c r="M23" s="7"/>
      <c r="N23" s="7"/>
      <c r="O23" s="7"/>
      <c r="P23" s="7"/>
      <c r="Q23" s="7"/>
      <c r="R23" s="7"/>
      <c r="S23" s="7"/>
      <c r="T23" s="7"/>
      <c r="U23" s="7"/>
      <c r="V23" s="7"/>
      <c r="W23" s="7"/>
    </row>
    <row r="24" spans="1:23" ht="12.75">
      <c r="A24" s="7"/>
      <c r="B24" s="7"/>
      <c r="C24" s="7"/>
      <c r="D24" s="7"/>
      <c r="E24" s="7"/>
      <c r="F24" s="7"/>
      <c r="G24" s="64"/>
      <c r="H24" s="7"/>
      <c r="I24" s="7"/>
      <c r="J24" s="7"/>
      <c r="K24" s="7"/>
      <c r="L24" s="7"/>
      <c r="M24" s="13">
        <f>+P9</f>
        <v>0</v>
      </c>
      <c r="N24" s="7"/>
      <c r="O24" s="7"/>
      <c r="P24" s="13">
        <f>+M24+N24-O24</f>
        <v>0</v>
      </c>
      <c r="Q24" s="7"/>
      <c r="R24" s="7"/>
      <c r="S24" s="7"/>
      <c r="T24" s="7"/>
      <c r="U24" s="7"/>
      <c r="V24" s="7"/>
      <c r="W24" s="7"/>
    </row>
    <row r="25" spans="1:23" ht="12.75">
      <c r="A25" s="7"/>
      <c r="B25" s="7"/>
      <c r="C25" s="7"/>
      <c r="D25" s="7"/>
      <c r="E25" s="7"/>
      <c r="F25" s="7"/>
      <c r="G25" s="64"/>
      <c r="H25" s="7"/>
      <c r="I25" s="7"/>
      <c r="J25" s="7"/>
      <c r="K25" s="7"/>
      <c r="L25" s="7"/>
      <c r="M25" s="13">
        <f>+P10</f>
        <v>0</v>
      </c>
      <c r="N25" s="7"/>
      <c r="O25" s="7"/>
      <c r="P25" s="13">
        <f>+M25+N25-O25</f>
        <v>0</v>
      </c>
      <c r="Q25" s="7"/>
      <c r="R25" s="7"/>
      <c r="S25" s="7"/>
      <c r="T25" s="7"/>
      <c r="U25" s="7"/>
      <c r="V25" s="7"/>
      <c r="W25" s="7"/>
    </row>
    <row r="26" spans="1:23" ht="12.75">
      <c r="A26" s="7"/>
      <c r="B26" s="7"/>
      <c r="C26" s="7"/>
      <c r="D26" s="7"/>
      <c r="E26" s="7"/>
      <c r="F26" s="7"/>
      <c r="G26" s="64"/>
      <c r="H26" s="7"/>
      <c r="I26" s="7"/>
      <c r="J26" s="7"/>
      <c r="K26" s="7"/>
      <c r="L26" s="7"/>
      <c r="M26" s="13">
        <f>+P11</f>
        <v>0</v>
      </c>
      <c r="N26" s="7"/>
      <c r="O26" s="7"/>
      <c r="P26" s="13">
        <f>+M26+N26-O26</f>
        <v>0</v>
      </c>
      <c r="Q26" s="7"/>
      <c r="R26" s="7"/>
      <c r="S26" s="7"/>
      <c r="T26" s="7"/>
      <c r="U26" s="7"/>
      <c r="V26" s="7"/>
      <c r="W26" s="7"/>
    </row>
    <row r="27" spans="1:23" ht="12.75">
      <c r="A27" s="26"/>
      <c r="B27" s="13"/>
      <c r="C27" s="7"/>
      <c r="D27" s="7"/>
      <c r="E27" s="7"/>
      <c r="F27" s="7"/>
      <c r="G27" s="7"/>
      <c r="H27" s="31">
        <f aca="true" t="shared" si="3" ref="H27:R27">SUM(H24:H26)</f>
        <v>0</v>
      </c>
      <c r="I27" s="31">
        <f t="shared" si="3"/>
        <v>0</v>
      </c>
      <c r="J27" s="31">
        <f t="shared" si="3"/>
        <v>0</v>
      </c>
      <c r="K27" s="31">
        <f t="shared" si="3"/>
        <v>0</v>
      </c>
      <c r="L27" s="31">
        <f t="shared" si="3"/>
        <v>0</v>
      </c>
      <c r="M27" s="31">
        <f t="shared" si="3"/>
        <v>0</v>
      </c>
      <c r="N27" s="31">
        <f t="shared" si="3"/>
        <v>0</v>
      </c>
      <c r="O27" s="31">
        <f t="shared" si="3"/>
        <v>0</v>
      </c>
      <c r="P27" s="31">
        <f t="shared" si="3"/>
        <v>0</v>
      </c>
      <c r="Q27" s="31">
        <f t="shared" si="3"/>
        <v>0</v>
      </c>
      <c r="R27" s="31">
        <f t="shared" si="3"/>
        <v>0</v>
      </c>
      <c r="S27" s="7"/>
      <c r="T27" s="7"/>
      <c r="U27" s="7"/>
      <c r="V27" s="7"/>
      <c r="W27" s="7"/>
    </row>
    <row r="28" spans="1:23" ht="12.75">
      <c r="A28" s="34" t="s">
        <v>274</v>
      </c>
      <c r="B28" s="7"/>
      <c r="C28" s="7"/>
      <c r="D28" s="7"/>
      <c r="E28" s="7"/>
      <c r="F28" s="7"/>
      <c r="G28" s="7"/>
      <c r="H28" s="7"/>
      <c r="I28" s="7"/>
      <c r="J28" s="7"/>
      <c r="K28" s="7"/>
      <c r="L28" s="7"/>
      <c r="M28" s="7"/>
      <c r="N28" s="7"/>
      <c r="O28" s="7"/>
      <c r="P28" s="7"/>
      <c r="Q28" s="7"/>
      <c r="R28" s="7"/>
      <c r="S28" s="7"/>
      <c r="T28" s="7"/>
      <c r="U28" s="7"/>
      <c r="V28" s="7"/>
      <c r="W28" s="7"/>
    </row>
    <row r="29" spans="1:23" ht="12.75">
      <c r="A29" s="7"/>
      <c r="B29" s="7"/>
      <c r="C29" s="7"/>
      <c r="D29" s="7"/>
      <c r="E29" s="7"/>
      <c r="F29" s="7"/>
      <c r="G29" s="64"/>
      <c r="H29" s="7"/>
      <c r="I29" s="7"/>
      <c r="J29" s="7"/>
      <c r="K29" s="7"/>
      <c r="L29" s="7"/>
      <c r="M29" s="13">
        <f>+P14</f>
        <v>0</v>
      </c>
      <c r="N29" s="7"/>
      <c r="O29" s="7"/>
      <c r="P29" s="13">
        <f>+M29+N29-O29</f>
        <v>0</v>
      </c>
      <c r="Q29" s="7"/>
      <c r="R29" s="7"/>
      <c r="S29" s="7"/>
      <c r="T29" s="7"/>
      <c r="U29" s="7"/>
      <c r="V29" s="7"/>
      <c r="W29" s="7"/>
    </row>
    <row r="30" spans="1:23" ht="12.75">
      <c r="A30" s="7"/>
      <c r="B30" s="7"/>
      <c r="C30" s="7"/>
      <c r="D30" s="7"/>
      <c r="E30" s="7"/>
      <c r="F30" s="7"/>
      <c r="G30" s="64"/>
      <c r="H30" s="7"/>
      <c r="I30" s="7"/>
      <c r="J30" s="7"/>
      <c r="K30" s="7"/>
      <c r="L30" s="7"/>
      <c r="M30" s="13">
        <f>+P15</f>
        <v>0</v>
      </c>
      <c r="N30" s="7"/>
      <c r="O30" s="7"/>
      <c r="P30" s="13">
        <f>+M30+N30-O30</f>
        <v>0</v>
      </c>
      <c r="Q30" s="7"/>
      <c r="R30" s="7"/>
      <c r="S30" s="7"/>
      <c r="T30" s="7"/>
      <c r="U30" s="7"/>
      <c r="V30" s="7"/>
      <c r="W30" s="7"/>
    </row>
    <row r="31" spans="1:23" ht="12.75">
      <c r="A31" s="7"/>
      <c r="B31" s="7"/>
      <c r="C31" s="7"/>
      <c r="D31" s="7"/>
      <c r="E31" s="7"/>
      <c r="F31" s="7"/>
      <c r="G31" s="64"/>
      <c r="H31" s="7"/>
      <c r="I31" s="7"/>
      <c r="J31" s="7"/>
      <c r="K31" s="7"/>
      <c r="L31" s="7"/>
      <c r="M31" s="13">
        <f>+P16</f>
        <v>0</v>
      </c>
      <c r="N31" s="7"/>
      <c r="O31" s="7"/>
      <c r="P31" s="13">
        <f>+M31+N31-O31</f>
        <v>0</v>
      </c>
      <c r="Q31" s="7"/>
      <c r="R31" s="7"/>
      <c r="S31" s="7"/>
      <c r="T31" s="7"/>
      <c r="U31" s="7"/>
      <c r="V31" s="7"/>
      <c r="W31" s="7"/>
    </row>
    <row r="32" spans="1:23" ht="12.75">
      <c r="A32" s="26"/>
      <c r="B32" s="22"/>
      <c r="C32" s="22"/>
      <c r="D32" s="22"/>
      <c r="E32" s="22"/>
      <c r="F32" s="22"/>
      <c r="G32" s="22"/>
      <c r="H32" s="31">
        <f aca="true" t="shared" si="4" ref="H32:R32">SUM(H29:H31)</f>
        <v>0</v>
      </c>
      <c r="I32" s="31">
        <f t="shared" si="4"/>
        <v>0</v>
      </c>
      <c r="J32" s="31">
        <f t="shared" si="4"/>
        <v>0</v>
      </c>
      <c r="K32" s="31">
        <f t="shared" si="4"/>
        <v>0</v>
      </c>
      <c r="L32" s="31">
        <f t="shared" si="4"/>
        <v>0</v>
      </c>
      <c r="M32" s="31">
        <f t="shared" si="4"/>
        <v>0</v>
      </c>
      <c r="N32" s="31">
        <f t="shared" si="4"/>
        <v>0</v>
      </c>
      <c r="O32" s="31">
        <f t="shared" si="4"/>
        <v>0</v>
      </c>
      <c r="P32" s="31">
        <f t="shared" si="4"/>
        <v>0</v>
      </c>
      <c r="Q32" s="31">
        <f t="shared" si="4"/>
        <v>0</v>
      </c>
      <c r="R32" s="31">
        <f t="shared" si="4"/>
        <v>0</v>
      </c>
      <c r="S32" s="22"/>
      <c r="T32" s="22"/>
      <c r="U32" s="22"/>
      <c r="V32" s="22"/>
      <c r="W32" s="22"/>
    </row>
    <row r="33" spans="1:23" ht="12.75">
      <c r="A33" s="87"/>
      <c r="B33" s="22"/>
      <c r="C33" s="22"/>
      <c r="D33" s="22"/>
      <c r="E33" s="22"/>
      <c r="F33" s="22"/>
      <c r="G33" s="22"/>
      <c r="H33" s="31">
        <f aca="true" t="shared" si="5" ref="H33:R33">+H27+H32</f>
        <v>0</v>
      </c>
      <c r="I33" s="31">
        <f t="shared" si="5"/>
        <v>0</v>
      </c>
      <c r="J33" s="31">
        <f t="shared" si="5"/>
        <v>0</v>
      </c>
      <c r="K33" s="31">
        <f t="shared" si="5"/>
        <v>0</v>
      </c>
      <c r="L33" s="31">
        <f t="shared" si="5"/>
        <v>0</v>
      </c>
      <c r="M33" s="31">
        <f t="shared" si="5"/>
        <v>0</v>
      </c>
      <c r="N33" s="31">
        <f t="shared" si="5"/>
        <v>0</v>
      </c>
      <c r="O33" s="31">
        <f t="shared" si="5"/>
        <v>0</v>
      </c>
      <c r="P33" s="31">
        <f t="shared" si="5"/>
        <v>0</v>
      </c>
      <c r="Q33" s="31">
        <f t="shared" si="5"/>
        <v>0</v>
      </c>
      <c r="R33" s="31">
        <f t="shared" si="5"/>
        <v>0</v>
      </c>
      <c r="S33" s="22"/>
      <c r="T33" s="22"/>
      <c r="U33" s="22"/>
      <c r="V33" s="22"/>
      <c r="W33" s="22"/>
    </row>
    <row r="36" spans="1:23" ht="12.75">
      <c r="A36" s="297" t="s">
        <v>477</v>
      </c>
      <c r="B36" s="10"/>
      <c r="C36" s="10"/>
      <c r="D36" s="10"/>
      <c r="E36" s="9"/>
      <c r="F36" s="10"/>
      <c r="G36" s="10"/>
      <c r="H36" s="10"/>
      <c r="I36" s="10"/>
      <c r="J36" s="10"/>
      <c r="K36" s="10"/>
      <c r="L36" s="10"/>
      <c r="M36" s="10"/>
      <c r="N36" s="10"/>
      <c r="O36" s="10"/>
      <c r="P36" s="10"/>
      <c r="Q36" s="85" t="s">
        <v>251</v>
      </c>
      <c r="R36" s="85"/>
      <c r="S36" s="85"/>
      <c r="T36" s="10"/>
      <c r="U36" s="15"/>
      <c r="V36" s="15"/>
      <c r="W36" s="15"/>
    </row>
    <row r="37" spans="1:23" ht="56.25">
      <c r="A37" s="272" t="s">
        <v>252</v>
      </c>
      <c r="B37" s="272" t="s">
        <v>253</v>
      </c>
      <c r="C37" s="272" t="s">
        <v>275</v>
      </c>
      <c r="D37" s="272" t="s">
        <v>254</v>
      </c>
      <c r="E37" s="272" t="s">
        <v>255</v>
      </c>
      <c r="F37" s="272" t="s">
        <v>256</v>
      </c>
      <c r="G37" s="272" t="s">
        <v>257</v>
      </c>
      <c r="H37" s="272" t="s">
        <v>258</v>
      </c>
      <c r="I37" s="272" t="s">
        <v>259</v>
      </c>
      <c r="J37" s="272" t="s">
        <v>260</v>
      </c>
      <c r="K37" s="272" t="s">
        <v>261</v>
      </c>
      <c r="L37" s="272" t="s">
        <v>262</v>
      </c>
      <c r="M37" s="272" t="s">
        <v>263</v>
      </c>
      <c r="N37" s="272" t="s">
        <v>264</v>
      </c>
      <c r="O37" s="272" t="s">
        <v>265</v>
      </c>
      <c r="P37" s="272" t="s">
        <v>266</v>
      </c>
      <c r="Q37" s="273" t="s">
        <v>267</v>
      </c>
      <c r="R37" s="270" t="s">
        <v>268</v>
      </c>
      <c r="S37" s="272" t="s">
        <v>269</v>
      </c>
      <c r="T37" s="272" t="s">
        <v>270</v>
      </c>
      <c r="U37" s="274" t="s">
        <v>271</v>
      </c>
      <c r="V37" s="274" t="s">
        <v>272</v>
      </c>
      <c r="W37" s="274" t="s">
        <v>107</v>
      </c>
    </row>
    <row r="38" spans="1:23" ht="12.75">
      <c r="A38" s="34" t="s">
        <v>273</v>
      </c>
      <c r="B38" s="7"/>
      <c r="C38" s="7"/>
      <c r="D38" s="7"/>
      <c r="E38" s="7"/>
      <c r="F38" s="7"/>
      <c r="G38" s="7"/>
      <c r="H38" s="7"/>
      <c r="I38" s="7"/>
      <c r="J38" s="7"/>
      <c r="K38" s="7"/>
      <c r="L38" s="7"/>
      <c r="M38" s="7"/>
      <c r="N38" s="7"/>
      <c r="O38" s="7"/>
      <c r="P38" s="7"/>
      <c r="Q38" s="7"/>
      <c r="R38" s="7"/>
      <c r="S38" s="7"/>
      <c r="T38" s="7"/>
      <c r="U38" s="7"/>
      <c r="V38" s="7"/>
      <c r="W38" s="7"/>
    </row>
    <row r="39" spans="1:23" ht="12.75">
      <c r="A39" s="7"/>
      <c r="B39" s="7"/>
      <c r="C39" s="7"/>
      <c r="D39" s="7"/>
      <c r="E39" s="7"/>
      <c r="F39" s="7"/>
      <c r="G39" s="64"/>
      <c r="H39" s="7"/>
      <c r="I39" s="7"/>
      <c r="J39" s="7"/>
      <c r="K39" s="7"/>
      <c r="L39" s="7"/>
      <c r="M39" s="13">
        <f>+P24</f>
        <v>0</v>
      </c>
      <c r="N39" s="7"/>
      <c r="O39" s="7"/>
      <c r="P39" s="13">
        <f>+M39+N39-O39</f>
        <v>0</v>
      </c>
      <c r="Q39" s="7"/>
      <c r="R39" s="7"/>
      <c r="S39" s="7"/>
      <c r="T39" s="7"/>
      <c r="U39" s="7"/>
      <c r="V39" s="7"/>
      <c r="W39" s="7"/>
    </row>
    <row r="40" spans="1:23" ht="12.75">
      <c r="A40" s="7"/>
      <c r="B40" s="7"/>
      <c r="C40" s="7"/>
      <c r="D40" s="7"/>
      <c r="E40" s="7"/>
      <c r="F40" s="7"/>
      <c r="G40" s="64"/>
      <c r="H40" s="7"/>
      <c r="I40" s="7"/>
      <c r="J40" s="7"/>
      <c r="K40" s="7"/>
      <c r="L40" s="7"/>
      <c r="M40" s="13">
        <f>+P25</f>
        <v>0</v>
      </c>
      <c r="N40" s="7"/>
      <c r="O40" s="7"/>
      <c r="P40" s="13">
        <f>+M40+N40-O40</f>
        <v>0</v>
      </c>
      <c r="Q40" s="7"/>
      <c r="R40" s="7"/>
      <c r="S40" s="7"/>
      <c r="T40" s="7"/>
      <c r="U40" s="7"/>
      <c r="V40" s="7"/>
      <c r="W40" s="7"/>
    </row>
    <row r="41" spans="1:23" ht="12.75">
      <c r="A41" s="7"/>
      <c r="B41" s="7"/>
      <c r="C41" s="7"/>
      <c r="D41" s="7"/>
      <c r="E41" s="7"/>
      <c r="F41" s="7"/>
      <c r="G41" s="64"/>
      <c r="H41" s="7"/>
      <c r="I41" s="7"/>
      <c r="J41" s="7"/>
      <c r="K41" s="7"/>
      <c r="L41" s="7"/>
      <c r="M41" s="13">
        <f>+P26</f>
        <v>0</v>
      </c>
      <c r="N41" s="7"/>
      <c r="O41" s="7"/>
      <c r="P41" s="13">
        <f>+M41+N41-O41</f>
        <v>0</v>
      </c>
      <c r="Q41" s="7"/>
      <c r="R41" s="7"/>
      <c r="S41" s="7"/>
      <c r="T41" s="7"/>
      <c r="U41" s="7"/>
      <c r="V41" s="7"/>
      <c r="W41" s="7"/>
    </row>
    <row r="42" spans="1:23" ht="12.75">
      <c r="A42" s="26"/>
      <c r="B42" s="13"/>
      <c r="C42" s="7"/>
      <c r="D42" s="7"/>
      <c r="E42" s="7"/>
      <c r="F42" s="7"/>
      <c r="G42" s="7"/>
      <c r="H42" s="31">
        <f aca="true" t="shared" si="6" ref="H42:R42">SUM(H39:H41)</f>
        <v>0</v>
      </c>
      <c r="I42" s="31">
        <f t="shared" si="6"/>
        <v>0</v>
      </c>
      <c r="J42" s="31">
        <f t="shared" si="6"/>
        <v>0</v>
      </c>
      <c r="K42" s="31">
        <f t="shared" si="6"/>
        <v>0</v>
      </c>
      <c r="L42" s="31">
        <f t="shared" si="6"/>
        <v>0</v>
      </c>
      <c r="M42" s="31">
        <f t="shared" si="6"/>
        <v>0</v>
      </c>
      <c r="N42" s="31">
        <f t="shared" si="6"/>
        <v>0</v>
      </c>
      <c r="O42" s="31">
        <f t="shared" si="6"/>
        <v>0</v>
      </c>
      <c r="P42" s="31">
        <f t="shared" si="6"/>
        <v>0</v>
      </c>
      <c r="Q42" s="31">
        <f t="shared" si="6"/>
        <v>0</v>
      </c>
      <c r="R42" s="31">
        <f t="shared" si="6"/>
        <v>0</v>
      </c>
      <c r="S42" s="7"/>
      <c r="T42" s="7"/>
      <c r="U42" s="7"/>
      <c r="V42" s="7"/>
      <c r="W42" s="7"/>
    </row>
    <row r="43" spans="1:23" ht="12.75">
      <c r="A43" s="34" t="s">
        <v>274</v>
      </c>
      <c r="B43" s="7"/>
      <c r="C43" s="7"/>
      <c r="D43" s="7"/>
      <c r="E43" s="7"/>
      <c r="F43" s="7"/>
      <c r="G43" s="7"/>
      <c r="H43" s="7"/>
      <c r="I43" s="7"/>
      <c r="J43" s="7"/>
      <c r="K43" s="7"/>
      <c r="L43" s="7"/>
      <c r="M43" s="7"/>
      <c r="N43" s="7"/>
      <c r="O43" s="7"/>
      <c r="P43" s="7"/>
      <c r="Q43" s="7"/>
      <c r="R43" s="7"/>
      <c r="S43" s="7"/>
      <c r="T43" s="7"/>
      <c r="U43" s="7"/>
      <c r="V43" s="7"/>
      <c r="W43" s="7"/>
    </row>
    <row r="44" spans="1:23" ht="12.75">
      <c r="A44" s="7"/>
      <c r="B44" s="7"/>
      <c r="C44" s="7"/>
      <c r="D44" s="7"/>
      <c r="E44" s="7"/>
      <c r="F44" s="7"/>
      <c r="G44" s="64"/>
      <c r="H44" s="7"/>
      <c r="I44" s="7"/>
      <c r="J44" s="7"/>
      <c r="K44" s="7"/>
      <c r="L44" s="7"/>
      <c r="M44" s="13">
        <f>+P29</f>
        <v>0</v>
      </c>
      <c r="N44" s="7"/>
      <c r="O44" s="7"/>
      <c r="P44" s="13">
        <f>+M44+N44-O44</f>
        <v>0</v>
      </c>
      <c r="Q44" s="7"/>
      <c r="R44" s="7"/>
      <c r="S44" s="7"/>
      <c r="T44" s="7"/>
      <c r="U44" s="7"/>
      <c r="V44" s="7"/>
      <c r="W44" s="7"/>
    </row>
    <row r="45" spans="1:23" ht="12.75">
      <c r="A45" s="7"/>
      <c r="B45" s="7"/>
      <c r="C45" s="7"/>
      <c r="D45" s="7"/>
      <c r="E45" s="7"/>
      <c r="F45" s="7"/>
      <c r="G45" s="64"/>
      <c r="H45" s="7"/>
      <c r="I45" s="7"/>
      <c r="J45" s="7"/>
      <c r="K45" s="7"/>
      <c r="L45" s="7"/>
      <c r="M45" s="13">
        <f>+P30</f>
        <v>0</v>
      </c>
      <c r="N45" s="7"/>
      <c r="O45" s="7"/>
      <c r="P45" s="13">
        <f>+M45+N45-O45</f>
        <v>0</v>
      </c>
      <c r="Q45" s="7"/>
      <c r="R45" s="7"/>
      <c r="S45" s="7"/>
      <c r="T45" s="7"/>
      <c r="U45" s="7"/>
      <c r="V45" s="7"/>
      <c r="W45" s="7"/>
    </row>
    <row r="46" spans="1:23" ht="12.75">
      <c r="A46" s="7"/>
      <c r="B46" s="7"/>
      <c r="C46" s="7"/>
      <c r="D46" s="7"/>
      <c r="E46" s="7"/>
      <c r="F46" s="7"/>
      <c r="G46" s="64"/>
      <c r="H46" s="7"/>
      <c r="I46" s="7"/>
      <c r="J46" s="7"/>
      <c r="K46" s="7"/>
      <c r="L46" s="7"/>
      <c r="M46" s="13">
        <f>+P31</f>
        <v>0</v>
      </c>
      <c r="N46" s="7"/>
      <c r="O46" s="7"/>
      <c r="P46" s="13">
        <f>+M46+N46-O46</f>
        <v>0</v>
      </c>
      <c r="Q46" s="7"/>
      <c r="R46" s="7"/>
      <c r="S46" s="7"/>
      <c r="T46" s="7"/>
      <c r="U46" s="7"/>
      <c r="V46" s="7"/>
      <c r="W46" s="7"/>
    </row>
    <row r="47" spans="1:23" ht="12.75">
      <c r="A47" s="26"/>
      <c r="B47" s="22"/>
      <c r="C47" s="22"/>
      <c r="D47" s="22"/>
      <c r="E47" s="22"/>
      <c r="F47" s="22"/>
      <c r="G47" s="22"/>
      <c r="H47" s="31">
        <f aca="true" t="shared" si="7" ref="H47:R47">SUM(H44:H46)</f>
        <v>0</v>
      </c>
      <c r="I47" s="31">
        <f t="shared" si="7"/>
        <v>0</v>
      </c>
      <c r="J47" s="31">
        <f t="shared" si="7"/>
        <v>0</v>
      </c>
      <c r="K47" s="31">
        <f t="shared" si="7"/>
        <v>0</v>
      </c>
      <c r="L47" s="31">
        <f t="shared" si="7"/>
        <v>0</v>
      </c>
      <c r="M47" s="31">
        <f t="shared" si="7"/>
        <v>0</v>
      </c>
      <c r="N47" s="31">
        <f t="shared" si="7"/>
        <v>0</v>
      </c>
      <c r="O47" s="31">
        <f t="shared" si="7"/>
        <v>0</v>
      </c>
      <c r="P47" s="31">
        <f t="shared" si="7"/>
        <v>0</v>
      </c>
      <c r="Q47" s="31">
        <f t="shared" si="7"/>
        <v>0</v>
      </c>
      <c r="R47" s="31">
        <f t="shared" si="7"/>
        <v>0</v>
      </c>
      <c r="S47" s="22"/>
      <c r="T47" s="22"/>
      <c r="U47" s="22"/>
      <c r="V47" s="22"/>
      <c r="W47" s="22"/>
    </row>
    <row r="48" spans="1:23" ht="12.75">
      <c r="A48" s="87"/>
      <c r="B48" s="22"/>
      <c r="C48" s="22"/>
      <c r="D48" s="22"/>
      <c r="E48" s="22"/>
      <c r="F48" s="22"/>
      <c r="G48" s="22"/>
      <c r="H48" s="31">
        <f aca="true" t="shared" si="8" ref="H48:R48">+H42+H47</f>
        <v>0</v>
      </c>
      <c r="I48" s="31">
        <f t="shared" si="8"/>
        <v>0</v>
      </c>
      <c r="J48" s="31">
        <f t="shared" si="8"/>
        <v>0</v>
      </c>
      <c r="K48" s="31">
        <f t="shared" si="8"/>
        <v>0</v>
      </c>
      <c r="L48" s="31">
        <f t="shared" si="8"/>
        <v>0</v>
      </c>
      <c r="M48" s="31">
        <f t="shared" si="8"/>
        <v>0</v>
      </c>
      <c r="N48" s="31">
        <f t="shared" si="8"/>
        <v>0</v>
      </c>
      <c r="O48" s="31">
        <f t="shared" si="8"/>
        <v>0</v>
      </c>
      <c r="P48" s="31">
        <f t="shared" si="8"/>
        <v>0</v>
      </c>
      <c r="Q48" s="31">
        <f t="shared" si="8"/>
        <v>0</v>
      </c>
      <c r="R48" s="31">
        <f t="shared" si="8"/>
        <v>0</v>
      </c>
      <c r="S48" s="22"/>
      <c r="T48" s="22"/>
      <c r="U48" s="22"/>
      <c r="V48" s="22"/>
      <c r="W48" s="22"/>
    </row>
    <row r="51" spans="1:23" ht="12.75">
      <c r="A51" s="297" t="s">
        <v>478</v>
      </c>
      <c r="B51" s="10"/>
      <c r="C51" s="10"/>
      <c r="D51" s="10"/>
      <c r="E51" s="9"/>
      <c r="F51" s="10"/>
      <c r="G51" s="10"/>
      <c r="H51" s="10"/>
      <c r="I51" s="10"/>
      <c r="J51" s="10"/>
      <c r="K51" s="10"/>
      <c r="L51" s="10"/>
      <c r="M51" s="10"/>
      <c r="N51" s="10"/>
      <c r="O51" s="10"/>
      <c r="P51" s="10"/>
      <c r="Q51" s="85" t="s">
        <v>251</v>
      </c>
      <c r="R51" s="85"/>
      <c r="S51" s="85"/>
      <c r="T51" s="10"/>
      <c r="U51" s="15"/>
      <c r="V51" s="15"/>
      <c r="W51" s="15"/>
    </row>
    <row r="52" spans="1:23" ht="56.25">
      <c r="A52" s="272" t="s">
        <v>252</v>
      </c>
      <c r="B52" s="272" t="s">
        <v>253</v>
      </c>
      <c r="C52" s="272" t="s">
        <v>275</v>
      </c>
      <c r="D52" s="272" t="s">
        <v>254</v>
      </c>
      <c r="E52" s="272" t="s">
        <v>255</v>
      </c>
      <c r="F52" s="272" t="s">
        <v>256</v>
      </c>
      <c r="G52" s="272" t="s">
        <v>257</v>
      </c>
      <c r="H52" s="272" t="s">
        <v>258</v>
      </c>
      <c r="I52" s="272" t="s">
        <v>259</v>
      </c>
      <c r="J52" s="272" t="s">
        <v>260</v>
      </c>
      <c r="K52" s="272" t="s">
        <v>261</v>
      </c>
      <c r="L52" s="272" t="s">
        <v>262</v>
      </c>
      <c r="M52" s="272" t="s">
        <v>263</v>
      </c>
      <c r="N52" s="272" t="s">
        <v>264</v>
      </c>
      <c r="O52" s="272" t="s">
        <v>265</v>
      </c>
      <c r="P52" s="272" t="s">
        <v>266</v>
      </c>
      <c r="Q52" s="273" t="s">
        <v>267</v>
      </c>
      <c r="R52" s="270" t="s">
        <v>268</v>
      </c>
      <c r="S52" s="272" t="s">
        <v>269</v>
      </c>
      <c r="T52" s="272" t="s">
        <v>270</v>
      </c>
      <c r="U52" s="274" t="s">
        <v>271</v>
      </c>
      <c r="V52" s="274" t="s">
        <v>272</v>
      </c>
      <c r="W52" s="274" t="s">
        <v>107</v>
      </c>
    </row>
    <row r="53" spans="1:23" ht="12.75">
      <c r="A53" s="34" t="s">
        <v>273</v>
      </c>
      <c r="B53" s="7"/>
      <c r="C53" s="7"/>
      <c r="D53" s="7"/>
      <c r="E53" s="7"/>
      <c r="F53" s="7"/>
      <c r="G53" s="7"/>
      <c r="H53" s="7"/>
      <c r="I53" s="7"/>
      <c r="J53" s="7"/>
      <c r="K53" s="7"/>
      <c r="L53" s="7"/>
      <c r="M53" s="7"/>
      <c r="N53" s="7"/>
      <c r="O53" s="7"/>
      <c r="P53" s="7"/>
      <c r="Q53" s="7"/>
      <c r="R53" s="7"/>
      <c r="S53" s="7"/>
      <c r="T53" s="7"/>
      <c r="U53" s="7"/>
      <c r="V53" s="7"/>
      <c r="W53" s="7"/>
    </row>
    <row r="54" spans="1:23" ht="12.75">
      <c r="A54" s="7"/>
      <c r="B54" s="7"/>
      <c r="C54" s="7"/>
      <c r="D54" s="7"/>
      <c r="E54" s="7"/>
      <c r="F54" s="7"/>
      <c r="G54" s="64"/>
      <c r="H54" s="7"/>
      <c r="I54" s="7"/>
      <c r="J54" s="7"/>
      <c r="K54" s="7"/>
      <c r="L54" s="7"/>
      <c r="M54" s="13">
        <f>+P39</f>
        <v>0</v>
      </c>
      <c r="N54" s="7"/>
      <c r="O54" s="7"/>
      <c r="P54" s="13">
        <f>+M54+N54-O54</f>
        <v>0</v>
      </c>
      <c r="Q54" s="7"/>
      <c r="R54" s="7"/>
      <c r="S54" s="7"/>
      <c r="T54" s="7"/>
      <c r="U54" s="7"/>
      <c r="V54" s="7"/>
      <c r="W54" s="7"/>
    </row>
    <row r="55" spans="1:23" ht="12.75">
      <c r="A55" s="7"/>
      <c r="B55" s="7"/>
      <c r="C55" s="7"/>
      <c r="D55" s="7"/>
      <c r="E55" s="7"/>
      <c r="F55" s="7"/>
      <c r="G55" s="64"/>
      <c r="H55" s="7"/>
      <c r="I55" s="7"/>
      <c r="J55" s="7"/>
      <c r="K55" s="7"/>
      <c r="L55" s="7"/>
      <c r="M55" s="13">
        <f>+P40</f>
        <v>0</v>
      </c>
      <c r="N55" s="7"/>
      <c r="O55" s="7"/>
      <c r="P55" s="13">
        <f>+M55+N55-O55</f>
        <v>0</v>
      </c>
      <c r="Q55" s="7"/>
      <c r="R55" s="7"/>
      <c r="S55" s="7"/>
      <c r="T55" s="7"/>
      <c r="U55" s="7"/>
      <c r="V55" s="7"/>
      <c r="W55" s="7"/>
    </row>
    <row r="56" spans="1:23" ht="12.75">
      <c r="A56" s="7"/>
      <c r="B56" s="7"/>
      <c r="C56" s="7"/>
      <c r="D56" s="7"/>
      <c r="E56" s="7"/>
      <c r="F56" s="7"/>
      <c r="G56" s="64"/>
      <c r="H56" s="7"/>
      <c r="I56" s="7"/>
      <c r="J56" s="7"/>
      <c r="K56" s="7"/>
      <c r="L56" s="7"/>
      <c r="M56" s="13">
        <f>+P41</f>
        <v>0</v>
      </c>
      <c r="N56" s="7"/>
      <c r="O56" s="7"/>
      <c r="P56" s="13">
        <f>+M56+N56-O56</f>
        <v>0</v>
      </c>
      <c r="Q56" s="7"/>
      <c r="R56" s="7"/>
      <c r="S56" s="7"/>
      <c r="T56" s="7"/>
      <c r="U56" s="7"/>
      <c r="V56" s="7"/>
      <c r="W56" s="7"/>
    </row>
    <row r="57" spans="1:23" ht="12.75">
      <c r="A57" s="26"/>
      <c r="B57" s="13"/>
      <c r="C57" s="7"/>
      <c r="D57" s="7"/>
      <c r="E57" s="7"/>
      <c r="F57" s="7"/>
      <c r="G57" s="7"/>
      <c r="H57" s="31">
        <f aca="true" t="shared" si="9" ref="H57:R57">SUM(H54:H56)</f>
        <v>0</v>
      </c>
      <c r="I57" s="31">
        <f t="shared" si="9"/>
        <v>0</v>
      </c>
      <c r="J57" s="31">
        <f t="shared" si="9"/>
        <v>0</v>
      </c>
      <c r="K57" s="31">
        <f t="shared" si="9"/>
        <v>0</v>
      </c>
      <c r="L57" s="31">
        <f t="shared" si="9"/>
        <v>0</v>
      </c>
      <c r="M57" s="31">
        <f t="shared" si="9"/>
        <v>0</v>
      </c>
      <c r="N57" s="31">
        <f t="shared" si="9"/>
        <v>0</v>
      </c>
      <c r="O57" s="31">
        <f t="shared" si="9"/>
        <v>0</v>
      </c>
      <c r="P57" s="31">
        <f t="shared" si="9"/>
        <v>0</v>
      </c>
      <c r="Q57" s="31">
        <f t="shared" si="9"/>
        <v>0</v>
      </c>
      <c r="R57" s="31">
        <f t="shared" si="9"/>
        <v>0</v>
      </c>
      <c r="S57" s="7"/>
      <c r="T57" s="7"/>
      <c r="U57" s="7"/>
      <c r="V57" s="7"/>
      <c r="W57" s="7"/>
    </row>
    <row r="58" spans="1:23" ht="12.75">
      <c r="A58" s="34" t="s">
        <v>274</v>
      </c>
      <c r="B58" s="7"/>
      <c r="C58" s="7"/>
      <c r="D58" s="7"/>
      <c r="E58" s="7"/>
      <c r="F58" s="7"/>
      <c r="G58" s="7"/>
      <c r="H58" s="7"/>
      <c r="I58" s="7"/>
      <c r="J58" s="7"/>
      <c r="K58" s="7"/>
      <c r="L58" s="7"/>
      <c r="M58" s="7"/>
      <c r="N58" s="7"/>
      <c r="O58" s="7"/>
      <c r="P58" s="7"/>
      <c r="Q58" s="7"/>
      <c r="R58" s="7"/>
      <c r="S58" s="7"/>
      <c r="T58" s="7"/>
      <c r="U58" s="7"/>
      <c r="V58" s="7"/>
      <c r="W58" s="7"/>
    </row>
    <row r="59" spans="1:23" ht="12.75">
      <c r="A59" s="7"/>
      <c r="B59" s="7"/>
      <c r="C59" s="7"/>
      <c r="D59" s="7"/>
      <c r="E59" s="7"/>
      <c r="F59" s="7"/>
      <c r="G59" s="64"/>
      <c r="H59" s="7"/>
      <c r="I59" s="7"/>
      <c r="J59" s="7"/>
      <c r="K59" s="7"/>
      <c r="L59" s="7"/>
      <c r="M59" s="13">
        <f>+P44</f>
        <v>0</v>
      </c>
      <c r="N59" s="7"/>
      <c r="O59" s="7"/>
      <c r="P59" s="13">
        <f>+M59+N59-O59</f>
        <v>0</v>
      </c>
      <c r="Q59" s="7"/>
      <c r="R59" s="7"/>
      <c r="S59" s="7"/>
      <c r="T59" s="7"/>
      <c r="U59" s="7"/>
      <c r="V59" s="7"/>
      <c r="W59" s="7"/>
    </row>
    <row r="60" spans="1:23" ht="12.75">
      <c r="A60" s="7"/>
      <c r="B60" s="7"/>
      <c r="C60" s="7"/>
      <c r="D60" s="7"/>
      <c r="E60" s="7"/>
      <c r="F60" s="7"/>
      <c r="G60" s="64"/>
      <c r="H60" s="7"/>
      <c r="I60" s="7"/>
      <c r="J60" s="7"/>
      <c r="K60" s="7"/>
      <c r="L60" s="7"/>
      <c r="M60" s="13">
        <f>+P45</f>
        <v>0</v>
      </c>
      <c r="N60" s="7"/>
      <c r="O60" s="7"/>
      <c r="P60" s="13">
        <f>+M60+N60-O60</f>
        <v>0</v>
      </c>
      <c r="Q60" s="7"/>
      <c r="R60" s="7"/>
      <c r="S60" s="7"/>
      <c r="T60" s="7"/>
      <c r="U60" s="7"/>
      <c r="V60" s="7"/>
      <c r="W60" s="7"/>
    </row>
    <row r="61" spans="1:23" ht="12.75">
      <c r="A61" s="7"/>
      <c r="B61" s="7"/>
      <c r="C61" s="7"/>
      <c r="D61" s="7"/>
      <c r="E61" s="7"/>
      <c r="F61" s="7"/>
      <c r="G61" s="64"/>
      <c r="H61" s="7"/>
      <c r="I61" s="7"/>
      <c r="J61" s="7"/>
      <c r="K61" s="7"/>
      <c r="L61" s="7"/>
      <c r="M61" s="13">
        <f>+P46</f>
        <v>0</v>
      </c>
      <c r="N61" s="7"/>
      <c r="O61" s="7"/>
      <c r="P61" s="13">
        <f>+M61+N61-O61</f>
        <v>0</v>
      </c>
      <c r="Q61" s="7"/>
      <c r="R61" s="7"/>
      <c r="S61" s="7"/>
      <c r="T61" s="7"/>
      <c r="U61" s="7"/>
      <c r="V61" s="7"/>
      <c r="W61" s="7"/>
    </row>
    <row r="62" spans="1:23" ht="12.75">
      <c r="A62" s="26"/>
      <c r="B62" s="22"/>
      <c r="C62" s="22"/>
      <c r="D62" s="22"/>
      <c r="E62" s="22"/>
      <c r="F62" s="22"/>
      <c r="G62" s="22"/>
      <c r="H62" s="31">
        <f aca="true" t="shared" si="10" ref="H62:R62">SUM(H59:H61)</f>
        <v>0</v>
      </c>
      <c r="I62" s="31">
        <f t="shared" si="10"/>
        <v>0</v>
      </c>
      <c r="J62" s="31">
        <f t="shared" si="10"/>
        <v>0</v>
      </c>
      <c r="K62" s="31">
        <f t="shared" si="10"/>
        <v>0</v>
      </c>
      <c r="L62" s="31">
        <f t="shared" si="10"/>
        <v>0</v>
      </c>
      <c r="M62" s="31">
        <f t="shared" si="10"/>
        <v>0</v>
      </c>
      <c r="N62" s="31">
        <f t="shared" si="10"/>
        <v>0</v>
      </c>
      <c r="O62" s="31">
        <f t="shared" si="10"/>
        <v>0</v>
      </c>
      <c r="P62" s="31">
        <f t="shared" si="10"/>
        <v>0</v>
      </c>
      <c r="Q62" s="31">
        <f t="shared" si="10"/>
        <v>0</v>
      </c>
      <c r="R62" s="31">
        <f t="shared" si="10"/>
        <v>0</v>
      </c>
      <c r="S62" s="22"/>
      <c r="T62" s="22"/>
      <c r="U62" s="22"/>
      <c r="V62" s="22"/>
      <c r="W62" s="22"/>
    </row>
    <row r="63" spans="1:23" ht="12.75">
      <c r="A63" s="87"/>
      <c r="B63" s="22"/>
      <c r="C63" s="22"/>
      <c r="D63" s="22"/>
      <c r="E63" s="22"/>
      <c r="F63" s="22"/>
      <c r="G63" s="22"/>
      <c r="H63" s="31">
        <f aca="true" t="shared" si="11" ref="H63:R63">+H57+H62</f>
        <v>0</v>
      </c>
      <c r="I63" s="31">
        <f t="shared" si="11"/>
        <v>0</v>
      </c>
      <c r="J63" s="31">
        <f t="shared" si="11"/>
        <v>0</v>
      </c>
      <c r="K63" s="31">
        <f t="shared" si="11"/>
        <v>0</v>
      </c>
      <c r="L63" s="31">
        <f t="shared" si="11"/>
        <v>0</v>
      </c>
      <c r="M63" s="31">
        <f t="shared" si="11"/>
        <v>0</v>
      </c>
      <c r="N63" s="31">
        <f t="shared" si="11"/>
        <v>0</v>
      </c>
      <c r="O63" s="31">
        <f t="shared" si="11"/>
        <v>0</v>
      </c>
      <c r="P63" s="31">
        <f t="shared" si="11"/>
        <v>0</v>
      </c>
      <c r="Q63" s="31">
        <f t="shared" si="11"/>
        <v>0</v>
      </c>
      <c r="R63" s="31">
        <f t="shared" si="11"/>
        <v>0</v>
      </c>
      <c r="S63" s="22"/>
      <c r="T63" s="22"/>
      <c r="U63" s="22"/>
      <c r="V63" s="22"/>
      <c r="W63" s="22"/>
    </row>
    <row r="66" spans="1:23" ht="12.75">
      <c r="A66" s="297" t="s">
        <v>479</v>
      </c>
      <c r="B66" s="10"/>
      <c r="C66" s="10"/>
      <c r="D66" s="10"/>
      <c r="E66" s="9"/>
      <c r="F66" s="10"/>
      <c r="G66" s="10"/>
      <c r="H66" s="10"/>
      <c r="I66" s="10"/>
      <c r="J66" s="10"/>
      <c r="K66" s="10"/>
      <c r="L66" s="10"/>
      <c r="M66" s="10"/>
      <c r="N66" s="10"/>
      <c r="O66" s="10"/>
      <c r="P66" s="10"/>
      <c r="Q66" s="85" t="s">
        <v>251</v>
      </c>
      <c r="R66" s="85"/>
      <c r="S66" s="85"/>
      <c r="T66" s="10"/>
      <c r="U66" s="15"/>
      <c r="V66" s="15"/>
      <c r="W66" s="15"/>
    </row>
    <row r="67" spans="1:23" ht="56.25">
      <c r="A67" s="272" t="s">
        <v>252</v>
      </c>
      <c r="B67" s="272" t="s">
        <v>253</v>
      </c>
      <c r="C67" s="272" t="s">
        <v>275</v>
      </c>
      <c r="D67" s="272" t="s">
        <v>254</v>
      </c>
      <c r="E67" s="272" t="s">
        <v>255</v>
      </c>
      <c r="F67" s="272" t="s">
        <v>256</v>
      </c>
      <c r="G67" s="272" t="s">
        <v>257</v>
      </c>
      <c r="H67" s="272" t="s">
        <v>258</v>
      </c>
      <c r="I67" s="272" t="s">
        <v>259</v>
      </c>
      <c r="J67" s="272" t="s">
        <v>260</v>
      </c>
      <c r="K67" s="272" t="s">
        <v>261</v>
      </c>
      <c r="L67" s="272" t="s">
        <v>262</v>
      </c>
      <c r="M67" s="272" t="s">
        <v>263</v>
      </c>
      <c r="N67" s="272" t="s">
        <v>264</v>
      </c>
      <c r="O67" s="272" t="s">
        <v>265</v>
      </c>
      <c r="P67" s="272" t="s">
        <v>266</v>
      </c>
      <c r="Q67" s="273" t="s">
        <v>267</v>
      </c>
      <c r="R67" s="270" t="s">
        <v>268</v>
      </c>
      <c r="S67" s="272" t="s">
        <v>269</v>
      </c>
      <c r="T67" s="272" t="s">
        <v>270</v>
      </c>
      <c r="U67" s="274" t="s">
        <v>271</v>
      </c>
      <c r="V67" s="274" t="s">
        <v>272</v>
      </c>
      <c r="W67" s="274" t="s">
        <v>107</v>
      </c>
    </row>
    <row r="68" spans="1:23" ht="12.75">
      <c r="A68" s="34" t="s">
        <v>273</v>
      </c>
      <c r="B68" s="7"/>
      <c r="C68" s="7"/>
      <c r="D68" s="7"/>
      <c r="E68" s="7"/>
      <c r="F68" s="7"/>
      <c r="G68" s="7"/>
      <c r="H68" s="7"/>
      <c r="I68" s="7"/>
      <c r="J68" s="7"/>
      <c r="K68" s="7"/>
      <c r="L68" s="7"/>
      <c r="M68" s="7"/>
      <c r="N68" s="7"/>
      <c r="O68" s="7"/>
      <c r="P68" s="7"/>
      <c r="Q68" s="7"/>
      <c r="R68" s="7"/>
      <c r="S68" s="7"/>
      <c r="T68" s="7"/>
      <c r="U68" s="7"/>
      <c r="V68" s="7"/>
      <c r="W68" s="7"/>
    </row>
    <row r="69" spans="1:23" ht="12.75">
      <c r="A69" s="7"/>
      <c r="B69" s="7"/>
      <c r="C69" s="7"/>
      <c r="D69" s="7"/>
      <c r="E69" s="7"/>
      <c r="F69" s="7"/>
      <c r="G69" s="64"/>
      <c r="H69" s="7"/>
      <c r="I69" s="7"/>
      <c r="J69" s="7"/>
      <c r="K69" s="7"/>
      <c r="L69" s="7"/>
      <c r="M69" s="13">
        <f>+P54</f>
        <v>0</v>
      </c>
      <c r="N69" s="7"/>
      <c r="O69" s="7"/>
      <c r="P69" s="13">
        <f>+M69+N69-O69</f>
        <v>0</v>
      </c>
      <c r="Q69" s="7"/>
      <c r="R69" s="7"/>
      <c r="S69" s="7"/>
      <c r="T69" s="7"/>
      <c r="U69" s="7"/>
      <c r="V69" s="7"/>
      <c r="W69" s="7"/>
    </row>
    <row r="70" spans="1:23" ht="12.75">
      <c r="A70" s="7"/>
      <c r="B70" s="7"/>
      <c r="C70" s="7"/>
      <c r="D70" s="7"/>
      <c r="E70" s="7"/>
      <c r="F70" s="7"/>
      <c r="G70" s="64"/>
      <c r="H70" s="7"/>
      <c r="I70" s="7"/>
      <c r="J70" s="7"/>
      <c r="K70" s="7"/>
      <c r="L70" s="7"/>
      <c r="M70" s="13">
        <f>+P55</f>
        <v>0</v>
      </c>
      <c r="N70" s="7"/>
      <c r="O70" s="7"/>
      <c r="P70" s="13">
        <f>+M70+N70-O70</f>
        <v>0</v>
      </c>
      <c r="Q70" s="7"/>
      <c r="R70" s="7"/>
      <c r="S70" s="7"/>
      <c r="T70" s="7"/>
      <c r="U70" s="7"/>
      <c r="V70" s="7"/>
      <c r="W70" s="7"/>
    </row>
    <row r="71" spans="1:23" ht="12.75">
      <c r="A71" s="7"/>
      <c r="B71" s="7"/>
      <c r="C71" s="7"/>
      <c r="D71" s="7"/>
      <c r="E71" s="7"/>
      <c r="F71" s="7"/>
      <c r="G71" s="64"/>
      <c r="H71" s="7"/>
      <c r="I71" s="7"/>
      <c r="J71" s="7"/>
      <c r="K71" s="7"/>
      <c r="L71" s="7"/>
      <c r="M71" s="13">
        <f>+P56</f>
        <v>0</v>
      </c>
      <c r="N71" s="7"/>
      <c r="O71" s="7"/>
      <c r="P71" s="13">
        <f>+M71+N71-O71</f>
        <v>0</v>
      </c>
      <c r="Q71" s="7"/>
      <c r="R71" s="7"/>
      <c r="S71" s="7"/>
      <c r="T71" s="7"/>
      <c r="U71" s="7"/>
      <c r="V71" s="7"/>
      <c r="W71" s="7"/>
    </row>
    <row r="72" spans="1:23" ht="12.75">
      <c r="A72" s="26"/>
      <c r="B72" s="13"/>
      <c r="C72" s="7"/>
      <c r="D72" s="7"/>
      <c r="E72" s="7"/>
      <c r="F72" s="7"/>
      <c r="G72" s="7"/>
      <c r="H72" s="31">
        <f aca="true" t="shared" si="12" ref="H72:R72">SUM(H69:H71)</f>
        <v>0</v>
      </c>
      <c r="I72" s="31">
        <f t="shared" si="12"/>
        <v>0</v>
      </c>
      <c r="J72" s="31">
        <f t="shared" si="12"/>
        <v>0</v>
      </c>
      <c r="K72" s="31">
        <f t="shared" si="12"/>
        <v>0</v>
      </c>
      <c r="L72" s="31">
        <f t="shared" si="12"/>
        <v>0</v>
      </c>
      <c r="M72" s="31">
        <f t="shared" si="12"/>
        <v>0</v>
      </c>
      <c r="N72" s="31">
        <f t="shared" si="12"/>
        <v>0</v>
      </c>
      <c r="O72" s="31">
        <f t="shared" si="12"/>
        <v>0</v>
      </c>
      <c r="P72" s="31">
        <f t="shared" si="12"/>
        <v>0</v>
      </c>
      <c r="Q72" s="31">
        <f t="shared" si="12"/>
        <v>0</v>
      </c>
      <c r="R72" s="31">
        <f t="shared" si="12"/>
        <v>0</v>
      </c>
      <c r="S72" s="7"/>
      <c r="T72" s="7"/>
      <c r="U72" s="7"/>
      <c r="V72" s="7"/>
      <c r="W72" s="7"/>
    </row>
    <row r="73" spans="1:23" ht="12.75">
      <c r="A73" s="34" t="s">
        <v>274</v>
      </c>
      <c r="B73" s="7"/>
      <c r="C73" s="7"/>
      <c r="D73" s="7"/>
      <c r="E73" s="7"/>
      <c r="F73" s="7"/>
      <c r="G73" s="7"/>
      <c r="H73" s="7"/>
      <c r="I73" s="7"/>
      <c r="J73" s="7"/>
      <c r="K73" s="7"/>
      <c r="L73" s="7"/>
      <c r="M73" s="7"/>
      <c r="N73" s="7"/>
      <c r="O73" s="7"/>
      <c r="P73" s="7"/>
      <c r="Q73" s="7"/>
      <c r="R73" s="7"/>
      <c r="S73" s="7"/>
      <c r="T73" s="7"/>
      <c r="U73" s="7"/>
      <c r="V73" s="7"/>
      <c r="W73" s="7"/>
    </row>
    <row r="74" spans="1:23" ht="12.75">
      <c r="A74" s="7"/>
      <c r="B74" s="7"/>
      <c r="C74" s="7"/>
      <c r="D74" s="7"/>
      <c r="E74" s="7"/>
      <c r="F74" s="7"/>
      <c r="G74" s="64"/>
      <c r="H74" s="7"/>
      <c r="I74" s="7"/>
      <c r="J74" s="7"/>
      <c r="K74" s="7"/>
      <c r="L74" s="7"/>
      <c r="M74" s="13">
        <f>+P59</f>
        <v>0</v>
      </c>
      <c r="N74" s="7"/>
      <c r="O74" s="7"/>
      <c r="P74" s="13">
        <f>+M74+N74-O74</f>
        <v>0</v>
      </c>
      <c r="Q74" s="7"/>
      <c r="R74" s="7"/>
      <c r="S74" s="7"/>
      <c r="T74" s="7"/>
      <c r="U74" s="7"/>
      <c r="V74" s="7"/>
      <c r="W74" s="7"/>
    </row>
    <row r="75" spans="1:23" ht="12.75">
      <c r="A75" s="7"/>
      <c r="B75" s="7"/>
      <c r="C75" s="7"/>
      <c r="D75" s="7"/>
      <c r="E75" s="7"/>
      <c r="F75" s="7"/>
      <c r="G75" s="64"/>
      <c r="H75" s="7"/>
      <c r="I75" s="7"/>
      <c r="J75" s="7"/>
      <c r="K75" s="7"/>
      <c r="L75" s="7"/>
      <c r="M75" s="13">
        <f>+P60</f>
        <v>0</v>
      </c>
      <c r="N75" s="7"/>
      <c r="O75" s="7"/>
      <c r="P75" s="13">
        <f>+M75+N75-O75</f>
        <v>0</v>
      </c>
      <c r="Q75" s="7"/>
      <c r="R75" s="7"/>
      <c r="S75" s="7"/>
      <c r="T75" s="7"/>
      <c r="U75" s="7"/>
      <c r="V75" s="7"/>
      <c r="W75" s="7"/>
    </row>
    <row r="76" spans="1:23" ht="12.75">
      <c r="A76" s="7"/>
      <c r="B76" s="7"/>
      <c r="C76" s="7"/>
      <c r="D76" s="7"/>
      <c r="E76" s="7"/>
      <c r="F76" s="7"/>
      <c r="G76" s="64"/>
      <c r="H76" s="7"/>
      <c r="I76" s="7"/>
      <c r="J76" s="7"/>
      <c r="K76" s="7"/>
      <c r="L76" s="7"/>
      <c r="M76" s="13">
        <f>+P61</f>
        <v>0</v>
      </c>
      <c r="N76" s="7"/>
      <c r="O76" s="7"/>
      <c r="P76" s="13">
        <f>+M76+N76-O76</f>
        <v>0</v>
      </c>
      <c r="Q76" s="7"/>
      <c r="R76" s="7"/>
      <c r="S76" s="7"/>
      <c r="T76" s="7"/>
      <c r="U76" s="7"/>
      <c r="V76" s="7"/>
      <c r="W76" s="7"/>
    </row>
    <row r="77" spans="1:23" ht="12.75">
      <c r="A77" s="26"/>
      <c r="B77" s="22"/>
      <c r="C77" s="22"/>
      <c r="D77" s="22"/>
      <c r="E77" s="22"/>
      <c r="F77" s="22"/>
      <c r="G77" s="22"/>
      <c r="H77" s="31">
        <f aca="true" t="shared" si="13" ref="H77:R77">SUM(H74:H76)</f>
        <v>0</v>
      </c>
      <c r="I77" s="31">
        <f t="shared" si="13"/>
        <v>0</v>
      </c>
      <c r="J77" s="31">
        <f t="shared" si="13"/>
        <v>0</v>
      </c>
      <c r="K77" s="31">
        <f t="shared" si="13"/>
        <v>0</v>
      </c>
      <c r="L77" s="31">
        <f t="shared" si="13"/>
        <v>0</v>
      </c>
      <c r="M77" s="31">
        <f t="shared" si="13"/>
        <v>0</v>
      </c>
      <c r="N77" s="31">
        <f t="shared" si="13"/>
        <v>0</v>
      </c>
      <c r="O77" s="31">
        <f t="shared" si="13"/>
        <v>0</v>
      </c>
      <c r="P77" s="31">
        <f t="shared" si="13"/>
        <v>0</v>
      </c>
      <c r="Q77" s="31">
        <f t="shared" si="13"/>
        <v>0</v>
      </c>
      <c r="R77" s="31">
        <f t="shared" si="13"/>
        <v>0</v>
      </c>
      <c r="S77" s="22"/>
      <c r="T77" s="22"/>
      <c r="U77" s="22"/>
      <c r="V77" s="22"/>
      <c r="W77" s="22"/>
    </row>
    <row r="78" spans="1:23" ht="12.75">
      <c r="A78" s="87"/>
      <c r="B78" s="22"/>
      <c r="C78" s="22"/>
      <c r="D78" s="22"/>
      <c r="E78" s="22"/>
      <c r="F78" s="22"/>
      <c r="G78" s="22"/>
      <c r="H78" s="31">
        <f aca="true" t="shared" si="14" ref="H78:R78">+H72+H77</f>
        <v>0</v>
      </c>
      <c r="I78" s="31">
        <f t="shared" si="14"/>
        <v>0</v>
      </c>
      <c r="J78" s="31">
        <f t="shared" si="14"/>
        <v>0</v>
      </c>
      <c r="K78" s="31">
        <f t="shared" si="14"/>
        <v>0</v>
      </c>
      <c r="L78" s="31">
        <f t="shared" si="14"/>
        <v>0</v>
      </c>
      <c r="M78" s="31">
        <f t="shared" si="14"/>
        <v>0</v>
      </c>
      <c r="N78" s="31">
        <f t="shared" si="14"/>
        <v>0</v>
      </c>
      <c r="O78" s="31">
        <f t="shared" si="14"/>
        <v>0</v>
      </c>
      <c r="P78" s="31">
        <f t="shared" si="14"/>
        <v>0</v>
      </c>
      <c r="Q78" s="31">
        <f t="shared" si="14"/>
        <v>0</v>
      </c>
      <c r="R78" s="31">
        <f t="shared" si="14"/>
        <v>0</v>
      </c>
      <c r="S78" s="22"/>
      <c r="T78" s="22"/>
      <c r="U78" s="22"/>
      <c r="V78" s="22"/>
      <c r="W78" s="22"/>
    </row>
    <row r="81" spans="1:23" ht="12.75">
      <c r="A81" s="297" t="s">
        <v>480</v>
      </c>
      <c r="B81" s="10"/>
      <c r="C81" s="10"/>
      <c r="D81" s="10"/>
      <c r="E81" s="9"/>
      <c r="F81" s="10"/>
      <c r="G81" s="10"/>
      <c r="H81" s="10"/>
      <c r="I81" s="10"/>
      <c r="J81" s="10"/>
      <c r="K81" s="10"/>
      <c r="L81" s="10"/>
      <c r="M81" s="10"/>
      <c r="N81" s="10"/>
      <c r="O81" s="10"/>
      <c r="P81" s="10"/>
      <c r="Q81" s="85" t="s">
        <v>251</v>
      </c>
      <c r="R81" s="85"/>
      <c r="S81" s="85"/>
      <c r="T81" s="10"/>
      <c r="U81" s="15"/>
      <c r="V81" s="15"/>
      <c r="W81" s="15"/>
    </row>
    <row r="82" spans="1:23" ht="56.25">
      <c r="A82" s="272" t="s">
        <v>252</v>
      </c>
      <c r="B82" s="272" t="s">
        <v>253</v>
      </c>
      <c r="C82" s="272" t="s">
        <v>275</v>
      </c>
      <c r="D82" s="272" t="s">
        <v>254</v>
      </c>
      <c r="E82" s="272" t="s">
        <v>255</v>
      </c>
      <c r="F82" s="272" t="s">
        <v>256</v>
      </c>
      <c r="G82" s="272" t="s">
        <v>257</v>
      </c>
      <c r="H82" s="272" t="s">
        <v>258</v>
      </c>
      <c r="I82" s="272" t="s">
        <v>259</v>
      </c>
      <c r="J82" s="272" t="s">
        <v>260</v>
      </c>
      <c r="K82" s="272" t="s">
        <v>261</v>
      </c>
      <c r="L82" s="272" t="s">
        <v>262</v>
      </c>
      <c r="M82" s="272" t="s">
        <v>263</v>
      </c>
      <c r="N82" s="272" t="s">
        <v>264</v>
      </c>
      <c r="O82" s="272" t="s">
        <v>265</v>
      </c>
      <c r="P82" s="272" t="s">
        <v>266</v>
      </c>
      <c r="Q82" s="273" t="s">
        <v>267</v>
      </c>
      <c r="R82" s="270" t="s">
        <v>268</v>
      </c>
      <c r="S82" s="272" t="s">
        <v>269</v>
      </c>
      <c r="T82" s="272" t="s">
        <v>270</v>
      </c>
      <c r="U82" s="274" t="s">
        <v>271</v>
      </c>
      <c r="V82" s="274" t="s">
        <v>272</v>
      </c>
      <c r="W82" s="274" t="s">
        <v>107</v>
      </c>
    </row>
    <row r="83" spans="1:23" ht="12.75">
      <c r="A83" s="34" t="s">
        <v>273</v>
      </c>
      <c r="B83" s="7"/>
      <c r="C83" s="7"/>
      <c r="D83" s="7"/>
      <c r="E83" s="7"/>
      <c r="F83" s="7"/>
      <c r="G83" s="7"/>
      <c r="H83" s="7"/>
      <c r="I83" s="7"/>
      <c r="J83" s="7"/>
      <c r="K83" s="7"/>
      <c r="L83" s="7"/>
      <c r="M83" s="7"/>
      <c r="N83" s="7"/>
      <c r="O83" s="7"/>
      <c r="P83" s="7"/>
      <c r="Q83" s="7"/>
      <c r="R83" s="7"/>
      <c r="S83" s="7"/>
      <c r="T83" s="7"/>
      <c r="U83" s="7"/>
      <c r="V83" s="7"/>
      <c r="W83" s="7"/>
    </row>
    <row r="84" spans="1:23" ht="12.75">
      <c r="A84" s="7"/>
      <c r="B84" s="7"/>
      <c r="C84" s="7"/>
      <c r="D84" s="7"/>
      <c r="E84" s="7"/>
      <c r="F84" s="7"/>
      <c r="G84" s="64"/>
      <c r="H84" s="7"/>
      <c r="I84" s="7"/>
      <c r="J84" s="7"/>
      <c r="K84" s="7"/>
      <c r="L84" s="7"/>
      <c r="M84" s="13">
        <f>+P69</f>
        <v>0</v>
      </c>
      <c r="N84" s="7"/>
      <c r="O84" s="7"/>
      <c r="P84" s="13">
        <f>+M84+N84-O84</f>
        <v>0</v>
      </c>
      <c r="Q84" s="7"/>
      <c r="R84" s="7"/>
      <c r="S84" s="7"/>
      <c r="T84" s="7"/>
      <c r="U84" s="7"/>
      <c r="V84" s="7"/>
      <c r="W84" s="7"/>
    </row>
    <row r="85" spans="1:23" ht="12.75">
      <c r="A85" s="7"/>
      <c r="B85" s="7"/>
      <c r="C85" s="7"/>
      <c r="D85" s="7"/>
      <c r="E85" s="7"/>
      <c r="F85" s="7"/>
      <c r="G85" s="64"/>
      <c r="H85" s="7"/>
      <c r="I85" s="7"/>
      <c r="J85" s="7"/>
      <c r="K85" s="7"/>
      <c r="L85" s="7"/>
      <c r="M85" s="13">
        <f>+P70</f>
        <v>0</v>
      </c>
      <c r="N85" s="7"/>
      <c r="O85" s="7"/>
      <c r="P85" s="13">
        <f>+M85+N85-O85</f>
        <v>0</v>
      </c>
      <c r="Q85" s="7"/>
      <c r="R85" s="7"/>
      <c r="S85" s="7"/>
      <c r="T85" s="7"/>
      <c r="U85" s="7"/>
      <c r="V85" s="7"/>
      <c r="W85" s="7"/>
    </row>
    <row r="86" spans="1:23" ht="12.75">
      <c r="A86" s="7"/>
      <c r="B86" s="7"/>
      <c r="C86" s="7"/>
      <c r="D86" s="7"/>
      <c r="E86" s="7"/>
      <c r="F86" s="7"/>
      <c r="G86" s="64"/>
      <c r="H86" s="7"/>
      <c r="I86" s="7"/>
      <c r="J86" s="7"/>
      <c r="K86" s="7"/>
      <c r="L86" s="7"/>
      <c r="M86" s="13">
        <f>+P71</f>
        <v>0</v>
      </c>
      <c r="N86" s="7"/>
      <c r="O86" s="7"/>
      <c r="P86" s="13">
        <f>+M86+N86-O86</f>
        <v>0</v>
      </c>
      <c r="Q86" s="7"/>
      <c r="R86" s="7"/>
      <c r="S86" s="7"/>
      <c r="T86" s="7"/>
      <c r="U86" s="7"/>
      <c r="V86" s="7"/>
      <c r="W86" s="7"/>
    </row>
    <row r="87" spans="1:23" ht="12.75">
      <c r="A87" s="26"/>
      <c r="B87" s="13"/>
      <c r="C87" s="7"/>
      <c r="D87" s="7"/>
      <c r="E87" s="7"/>
      <c r="F87" s="7"/>
      <c r="G87" s="7"/>
      <c r="H87" s="31">
        <f aca="true" t="shared" si="15" ref="H87:R87">SUM(H84:H86)</f>
        <v>0</v>
      </c>
      <c r="I87" s="31">
        <f t="shared" si="15"/>
        <v>0</v>
      </c>
      <c r="J87" s="31">
        <f t="shared" si="15"/>
        <v>0</v>
      </c>
      <c r="K87" s="31">
        <f t="shared" si="15"/>
        <v>0</v>
      </c>
      <c r="L87" s="31">
        <f t="shared" si="15"/>
        <v>0</v>
      </c>
      <c r="M87" s="31">
        <f t="shared" si="15"/>
        <v>0</v>
      </c>
      <c r="N87" s="31">
        <f t="shared" si="15"/>
        <v>0</v>
      </c>
      <c r="O87" s="31">
        <f t="shared" si="15"/>
        <v>0</v>
      </c>
      <c r="P87" s="31">
        <f t="shared" si="15"/>
        <v>0</v>
      </c>
      <c r="Q87" s="31">
        <f t="shared" si="15"/>
        <v>0</v>
      </c>
      <c r="R87" s="31">
        <f t="shared" si="15"/>
        <v>0</v>
      </c>
      <c r="S87" s="7"/>
      <c r="T87" s="7"/>
      <c r="U87" s="7"/>
      <c r="V87" s="7"/>
      <c r="W87" s="7"/>
    </row>
    <row r="88" spans="1:23" ht="12.75">
      <c r="A88" s="34" t="s">
        <v>274</v>
      </c>
      <c r="B88" s="7"/>
      <c r="C88" s="7"/>
      <c r="D88" s="7"/>
      <c r="E88" s="7"/>
      <c r="F88" s="7"/>
      <c r="G88" s="7"/>
      <c r="H88" s="7"/>
      <c r="I88" s="7"/>
      <c r="J88" s="7"/>
      <c r="K88" s="7"/>
      <c r="L88" s="7"/>
      <c r="M88" s="7"/>
      <c r="N88" s="7"/>
      <c r="O88" s="7"/>
      <c r="P88" s="7"/>
      <c r="Q88" s="7"/>
      <c r="R88" s="7"/>
      <c r="S88" s="7"/>
      <c r="T88" s="7"/>
      <c r="U88" s="7"/>
      <c r="V88" s="7"/>
      <c r="W88" s="7"/>
    </row>
    <row r="89" spans="1:23" ht="12.75">
      <c r="A89" s="7"/>
      <c r="B89" s="7"/>
      <c r="C89" s="7"/>
      <c r="D89" s="7"/>
      <c r="E89" s="7"/>
      <c r="F89" s="7"/>
      <c r="G89" s="64"/>
      <c r="H89" s="7"/>
      <c r="I89" s="7"/>
      <c r="J89" s="7"/>
      <c r="K89" s="7"/>
      <c r="L89" s="7"/>
      <c r="M89" s="13">
        <f>+P74</f>
        <v>0</v>
      </c>
      <c r="N89" s="7"/>
      <c r="O89" s="7"/>
      <c r="P89" s="13">
        <f>+M89+N89-O89</f>
        <v>0</v>
      </c>
      <c r="Q89" s="7"/>
      <c r="R89" s="7"/>
      <c r="S89" s="7"/>
      <c r="T89" s="7"/>
      <c r="U89" s="7"/>
      <c r="V89" s="7"/>
      <c r="W89" s="7"/>
    </row>
    <row r="90" spans="1:23" ht="12.75">
      <c r="A90" s="7"/>
      <c r="B90" s="7"/>
      <c r="C90" s="7"/>
      <c r="D90" s="7"/>
      <c r="E90" s="7"/>
      <c r="F90" s="7"/>
      <c r="G90" s="64"/>
      <c r="H90" s="7"/>
      <c r="I90" s="7"/>
      <c r="J90" s="7"/>
      <c r="K90" s="7"/>
      <c r="L90" s="7"/>
      <c r="M90" s="13">
        <f>+P75</f>
        <v>0</v>
      </c>
      <c r="N90" s="7"/>
      <c r="O90" s="7"/>
      <c r="P90" s="13">
        <f>+M90+N90-O90</f>
        <v>0</v>
      </c>
      <c r="Q90" s="7"/>
      <c r="R90" s="7"/>
      <c r="S90" s="7"/>
      <c r="T90" s="7"/>
      <c r="U90" s="7"/>
      <c r="V90" s="7"/>
      <c r="W90" s="7"/>
    </row>
    <row r="91" spans="1:23" ht="12.75">
      <c r="A91" s="7"/>
      <c r="B91" s="7"/>
      <c r="C91" s="7"/>
      <c r="D91" s="7"/>
      <c r="E91" s="7"/>
      <c r="F91" s="7"/>
      <c r="G91" s="64"/>
      <c r="H91" s="7"/>
      <c r="I91" s="7"/>
      <c r="J91" s="7"/>
      <c r="K91" s="7"/>
      <c r="L91" s="7"/>
      <c r="M91" s="13">
        <f>+P76</f>
        <v>0</v>
      </c>
      <c r="N91" s="7"/>
      <c r="O91" s="7"/>
      <c r="P91" s="13">
        <f>+M91+N91-O91</f>
        <v>0</v>
      </c>
      <c r="Q91" s="7"/>
      <c r="R91" s="7"/>
      <c r="S91" s="7"/>
      <c r="T91" s="7"/>
      <c r="U91" s="7"/>
      <c r="V91" s="7"/>
      <c r="W91" s="7"/>
    </row>
    <row r="92" spans="1:23" ht="12.75">
      <c r="A92" s="26"/>
      <c r="B92" s="22"/>
      <c r="C92" s="22"/>
      <c r="D92" s="22"/>
      <c r="E92" s="22"/>
      <c r="F92" s="22"/>
      <c r="G92" s="22"/>
      <c r="H92" s="31">
        <f aca="true" t="shared" si="16" ref="H92:R92">SUM(H89:H91)</f>
        <v>0</v>
      </c>
      <c r="I92" s="31">
        <f t="shared" si="16"/>
        <v>0</v>
      </c>
      <c r="J92" s="31">
        <f t="shared" si="16"/>
        <v>0</v>
      </c>
      <c r="K92" s="31">
        <f t="shared" si="16"/>
        <v>0</v>
      </c>
      <c r="L92" s="31">
        <f t="shared" si="16"/>
        <v>0</v>
      </c>
      <c r="M92" s="31">
        <f t="shared" si="16"/>
        <v>0</v>
      </c>
      <c r="N92" s="31">
        <f t="shared" si="16"/>
        <v>0</v>
      </c>
      <c r="O92" s="31">
        <f t="shared" si="16"/>
        <v>0</v>
      </c>
      <c r="P92" s="31">
        <f t="shared" si="16"/>
        <v>0</v>
      </c>
      <c r="Q92" s="31">
        <f t="shared" si="16"/>
        <v>0</v>
      </c>
      <c r="R92" s="31">
        <f t="shared" si="16"/>
        <v>0</v>
      </c>
      <c r="S92" s="22"/>
      <c r="T92" s="22"/>
      <c r="U92" s="22"/>
      <c r="V92" s="22"/>
      <c r="W92" s="22"/>
    </row>
    <row r="93" spans="1:23" ht="12.75">
      <c r="A93" s="87"/>
      <c r="B93" s="22"/>
      <c r="C93" s="22"/>
      <c r="D93" s="22"/>
      <c r="E93" s="22"/>
      <c r="F93" s="22"/>
      <c r="G93" s="22"/>
      <c r="H93" s="31">
        <f aca="true" t="shared" si="17" ref="H93:R93">+H87+H92</f>
        <v>0</v>
      </c>
      <c r="I93" s="31">
        <f t="shared" si="17"/>
        <v>0</v>
      </c>
      <c r="J93" s="31">
        <f t="shared" si="17"/>
        <v>0</v>
      </c>
      <c r="K93" s="31">
        <f t="shared" si="17"/>
        <v>0</v>
      </c>
      <c r="L93" s="31">
        <f t="shared" si="17"/>
        <v>0</v>
      </c>
      <c r="M93" s="31">
        <f t="shared" si="17"/>
        <v>0</v>
      </c>
      <c r="N93" s="31">
        <f t="shared" si="17"/>
        <v>0</v>
      </c>
      <c r="O93" s="31">
        <f t="shared" si="17"/>
        <v>0</v>
      </c>
      <c r="P93" s="31">
        <f t="shared" si="17"/>
        <v>0</v>
      </c>
      <c r="Q93" s="31">
        <f t="shared" si="17"/>
        <v>0</v>
      </c>
      <c r="R93" s="31">
        <f t="shared" si="17"/>
        <v>0</v>
      </c>
      <c r="S93" s="22"/>
      <c r="T93" s="22"/>
      <c r="U93" s="22"/>
      <c r="V93" s="22"/>
      <c r="W93" s="22"/>
    </row>
  </sheetData>
  <sheetProtection/>
  <printOptions/>
  <pageMargins left="0.17" right="0.17" top="1" bottom="1" header="0.5" footer="0.5"/>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H18"/>
  <sheetViews>
    <sheetView zoomScalePageLayoutView="0" workbookViewId="0" topLeftCell="A1">
      <selection activeCell="I9" sqref="I9"/>
    </sheetView>
  </sheetViews>
  <sheetFormatPr defaultColWidth="9.140625" defaultRowHeight="12.75"/>
  <cols>
    <col min="1" max="1" width="36.421875" style="0" bestFit="1" customWidth="1"/>
    <col min="2" max="2" width="6.7109375" style="0" bestFit="1" customWidth="1"/>
    <col min="3" max="3" width="12.28125" style="0" customWidth="1"/>
    <col min="4" max="4" width="12.7109375" style="0" bestFit="1" customWidth="1"/>
    <col min="5" max="8" width="10.421875" style="0" bestFit="1" customWidth="1"/>
  </cols>
  <sheetData>
    <row r="1" ht="12.75">
      <c r="A1" s="23" t="s">
        <v>247</v>
      </c>
    </row>
    <row r="2" ht="12.75">
      <c r="A2" s="32" t="s">
        <v>248</v>
      </c>
    </row>
    <row r="3" ht="12.75">
      <c r="A3" s="28"/>
    </row>
    <row r="4" spans="1:7" ht="12.75">
      <c r="A4" s="10" t="s">
        <v>501</v>
      </c>
      <c r="G4" t="s">
        <v>375</v>
      </c>
    </row>
    <row r="5" spans="1:8" ht="36" customHeight="1">
      <c r="A5" s="275" t="s">
        <v>0</v>
      </c>
      <c r="B5" s="248" t="s">
        <v>13</v>
      </c>
      <c r="C5" s="276" t="s">
        <v>644</v>
      </c>
      <c r="D5" s="248" t="s">
        <v>481</v>
      </c>
      <c r="E5" s="248" t="s">
        <v>482</v>
      </c>
      <c r="F5" s="248" t="s">
        <v>483</v>
      </c>
      <c r="G5" s="248" t="s">
        <v>484</v>
      </c>
      <c r="H5" s="248" t="s">
        <v>485</v>
      </c>
    </row>
    <row r="6" spans="1:8" ht="16.5" customHeight="1">
      <c r="A6" s="40" t="s">
        <v>312</v>
      </c>
      <c r="B6" s="65"/>
      <c r="C6" s="285">
        <v>203.91</v>
      </c>
      <c r="D6" s="285">
        <f>C6-5</f>
        <v>198.91</v>
      </c>
      <c r="E6" s="285">
        <f>D6-5</f>
        <v>193.91</v>
      </c>
      <c r="F6" s="285">
        <f>E6+25</f>
        <v>218.91</v>
      </c>
      <c r="G6" s="285">
        <f>F6+25</f>
        <v>243.91</v>
      </c>
      <c r="H6" s="285">
        <f>G6+5</f>
        <v>248.91</v>
      </c>
    </row>
    <row r="7" spans="1:8" ht="16.5" customHeight="1">
      <c r="A7" s="40" t="s">
        <v>496</v>
      </c>
      <c r="B7" s="65"/>
      <c r="C7" s="285">
        <v>50</v>
      </c>
      <c r="D7" s="285">
        <f>75+7.15</f>
        <v>82.15</v>
      </c>
      <c r="E7" s="285"/>
      <c r="F7" s="285"/>
      <c r="G7" s="285"/>
      <c r="H7" s="285"/>
    </row>
    <row r="8" spans="1:8" ht="16.5" customHeight="1">
      <c r="A8" s="40" t="s">
        <v>625</v>
      </c>
      <c r="B8" s="65"/>
      <c r="C8" s="84">
        <v>118.051336326</v>
      </c>
      <c r="D8" s="84">
        <f>'1c (Rev.)'!D12/12</f>
        <v>139.44718469168612</v>
      </c>
      <c r="E8" s="84">
        <f>'1c (Rev.)'!E12/12</f>
        <v>174.8756514746124</v>
      </c>
      <c r="F8" s="84">
        <f>'1c (Rev.)'!F12/12</f>
        <v>219.02127398154929</v>
      </c>
      <c r="G8" s="84">
        <f>'1c (Rev.)'!G12/12</f>
        <v>279.3958884291391</v>
      </c>
      <c r="H8" s="84">
        <f>'1c (Rev.)'!H12/12</f>
        <v>345.2292887150491</v>
      </c>
    </row>
    <row r="9" spans="1:8" ht="16.5" customHeight="1">
      <c r="A9" s="40" t="s">
        <v>313</v>
      </c>
      <c r="B9" s="65"/>
      <c r="C9" s="84">
        <v>77.4</v>
      </c>
      <c r="D9" s="84">
        <f>+C9+5</f>
        <v>82.4</v>
      </c>
      <c r="E9" s="84">
        <f>+D9+5</f>
        <v>87.4</v>
      </c>
      <c r="F9" s="84">
        <f>+E9-15</f>
        <v>72.4</v>
      </c>
      <c r="G9" s="84">
        <f>+F9+15</f>
        <v>87.4</v>
      </c>
      <c r="H9" s="84">
        <f>+G9</f>
        <v>87.4</v>
      </c>
    </row>
    <row r="10" spans="1:8" ht="16.5" customHeight="1">
      <c r="A10" s="40" t="s">
        <v>314</v>
      </c>
      <c r="B10" s="65"/>
      <c r="C10" s="84">
        <v>517.79</v>
      </c>
      <c r="D10" s="84">
        <f>C10</f>
        <v>517.79</v>
      </c>
      <c r="E10" s="84">
        <f>D10</f>
        <v>517.79</v>
      </c>
      <c r="F10" s="84">
        <f>E10</f>
        <v>517.79</v>
      </c>
      <c r="G10" s="84">
        <f>F10</f>
        <v>517.79</v>
      </c>
      <c r="H10" s="84">
        <f>G10</f>
        <v>517.79</v>
      </c>
    </row>
    <row r="11" spans="1:8" ht="16.5" customHeight="1">
      <c r="A11" s="40" t="s">
        <v>506</v>
      </c>
      <c r="B11" s="65"/>
      <c r="C11" s="84"/>
      <c r="D11" s="84"/>
      <c r="E11" s="84"/>
      <c r="F11" s="84"/>
      <c r="G11" s="84"/>
      <c r="H11" s="84"/>
    </row>
    <row r="12" spans="1:8" ht="16.5" customHeight="1">
      <c r="A12" s="40" t="s">
        <v>507</v>
      </c>
      <c r="B12" s="65"/>
      <c r="C12" s="84">
        <v>14.63</v>
      </c>
      <c r="D12" s="84">
        <f>C12+25</f>
        <v>39.63</v>
      </c>
      <c r="E12" s="84">
        <f>D12+5</f>
        <v>44.63</v>
      </c>
      <c r="F12" s="84">
        <f>E12-5</f>
        <v>39.63</v>
      </c>
      <c r="G12" s="84">
        <f>F12+5</f>
        <v>44.63</v>
      </c>
      <c r="H12" s="84">
        <f>G12+15</f>
        <v>59.63</v>
      </c>
    </row>
    <row r="13" spans="1:8" ht="16.5" customHeight="1">
      <c r="A13" s="40" t="s">
        <v>515</v>
      </c>
      <c r="B13" s="65"/>
      <c r="C13" s="84"/>
      <c r="D13" s="84"/>
      <c r="E13" s="84"/>
      <c r="F13" s="84"/>
      <c r="G13" s="84"/>
      <c r="H13" s="84"/>
    </row>
    <row r="14" spans="1:8" ht="16.5" customHeight="1">
      <c r="A14" s="40"/>
      <c r="B14" s="65"/>
      <c r="C14" s="84"/>
      <c r="D14" s="84"/>
      <c r="E14" s="84"/>
      <c r="F14" s="84"/>
      <c r="G14" s="84"/>
      <c r="H14" s="84"/>
    </row>
    <row r="15" spans="1:8" ht="16.5" customHeight="1">
      <c r="A15" s="40" t="s">
        <v>315</v>
      </c>
      <c r="B15" s="65"/>
      <c r="C15" s="84">
        <v>148.85</v>
      </c>
      <c r="D15" s="84">
        <f>C15+25-12.76</f>
        <v>161.09</v>
      </c>
      <c r="E15" s="84">
        <f>D15+5</f>
        <v>166.09</v>
      </c>
      <c r="F15" s="84">
        <f>E15</f>
        <v>166.09</v>
      </c>
      <c r="G15" s="84">
        <f>F15</f>
        <v>166.09</v>
      </c>
      <c r="H15" s="84">
        <f>G15</f>
        <v>166.09</v>
      </c>
    </row>
    <row r="16" spans="1:8" ht="22.5" customHeight="1">
      <c r="A16" s="277" t="s">
        <v>289</v>
      </c>
      <c r="B16" s="257"/>
      <c r="C16" s="267">
        <f aca="true" t="shared" si="0" ref="C16:H16">SUM(C6:C15)</f>
        <v>1130.6313363259999</v>
      </c>
      <c r="D16" s="267">
        <f t="shared" si="0"/>
        <v>1221.417184691686</v>
      </c>
      <c r="E16" s="267">
        <f t="shared" si="0"/>
        <v>1184.6956514746123</v>
      </c>
      <c r="F16" s="267">
        <f t="shared" si="0"/>
        <v>1233.8412739815492</v>
      </c>
      <c r="G16" s="267">
        <f t="shared" si="0"/>
        <v>1339.215888429139</v>
      </c>
      <c r="H16" s="267">
        <f t="shared" si="0"/>
        <v>1425.0492887150492</v>
      </c>
    </row>
    <row r="18" ht="12.75">
      <c r="C18" s="20"/>
    </row>
  </sheetData>
  <sheetProtection/>
  <dataValidations count="1">
    <dataValidation type="decimal" allowBlank="1" showInputMessage="1" showErrorMessage="1" error="Enter in number format only" sqref="B5">
      <formula1>-1000000000000000</formula1>
      <formula2>100000000000000000</formula2>
    </dataValidation>
  </dataValidations>
  <printOptions horizontalCentered="1"/>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2:AA31"/>
  <sheetViews>
    <sheetView zoomScalePageLayoutView="0" workbookViewId="0" topLeftCell="A10">
      <selection activeCell="C7" sqref="C7"/>
    </sheetView>
  </sheetViews>
  <sheetFormatPr defaultColWidth="9.140625" defaultRowHeight="12.75"/>
  <cols>
    <col min="1" max="1" width="46.28125" style="15" customWidth="1"/>
    <col min="2" max="2" width="6.7109375" style="15" bestFit="1" customWidth="1"/>
    <col min="3" max="3" width="12.140625" style="15" customWidth="1"/>
    <col min="4" max="8" width="9.7109375" style="15" customWidth="1"/>
    <col min="9" max="16384" width="9.140625" style="15" customWidth="1"/>
  </cols>
  <sheetData>
    <row r="2" ht="12.75">
      <c r="A2" s="23" t="s">
        <v>126</v>
      </c>
    </row>
    <row r="3" spans="1:3" ht="12.75">
      <c r="A3" s="32" t="s">
        <v>127</v>
      </c>
      <c r="C3" s="15" t="s">
        <v>375</v>
      </c>
    </row>
    <row r="4" ht="12.75">
      <c r="A4" s="28"/>
    </row>
    <row r="5" ht="12.75">
      <c r="A5" s="10"/>
    </row>
    <row r="6" spans="1:8" ht="24" customHeight="1">
      <c r="A6" s="275" t="s">
        <v>0</v>
      </c>
      <c r="B6" s="278" t="s">
        <v>13</v>
      </c>
      <c r="C6" s="279" t="s">
        <v>644</v>
      </c>
      <c r="D6" s="278" t="s">
        <v>481</v>
      </c>
      <c r="E6" s="278" t="s">
        <v>482</v>
      </c>
      <c r="F6" s="278" t="s">
        <v>483</v>
      </c>
      <c r="G6" s="278" t="s">
        <v>484</v>
      </c>
      <c r="H6" s="278" t="s">
        <v>485</v>
      </c>
    </row>
    <row r="7" spans="1:8" ht="18" customHeight="1">
      <c r="A7" s="38" t="s">
        <v>316</v>
      </c>
      <c r="B7" s="39"/>
      <c r="C7" s="285"/>
      <c r="D7" s="285"/>
      <c r="E7" s="285"/>
      <c r="F7" s="285"/>
      <c r="G7" s="285"/>
      <c r="H7" s="285"/>
    </row>
    <row r="8" spans="1:8" ht="18" customHeight="1">
      <c r="A8" s="38" t="s">
        <v>380</v>
      </c>
      <c r="B8" s="39"/>
      <c r="C8" s="285"/>
      <c r="D8" s="285"/>
      <c r="E8" s="285"/>
      <c r="F8" s="285"/>
      <c r="G8" s="285"/>
      <c r="H8" s="285"/>
    </row>
    <row r="9" spans="1:8" ht="18" customHeight="1">
      <c r="A9" s="41" t="s">
        <v>377</v>
      </c>
      <c r="B9" s="39"/>
      <c r="C9" s="285"/>
      <c r="D9" s="285"/>
      <c r="E9" s="285"/>
      <c r="F9" s="285"/>
      <c r="G9" s="285"/>
      <c r="H9" s="285"/>
    </row>
    <row r="10" spans="1:8" ht="18" customHeight="1">
      <c r="A10" s="41" t="s">
        <v>388</v>
      </c>
      <c r="B10" s="39"/>
      <c r="C10" s="285"/>
      <c r="D10" s="285"/>
      <c r="E10" s="285"/>
      <c r="F10" s="285"/>
      <c r="G10" s="285"/>
      <c r="H10" s="285"/>
    </row>
    <row r="11" spans="1:8" ht="18" customHeight="1">
      <c r="A11" s="40" t="s">
        <v>317</v>
      </c>
      <c r="B11" s="39"/>
      <c r="C11" s="285">
        <v>233.8</v>
      </c>
      <c r="D11" s="285">
        <f>C11-15</f>
        <v>218.8</v>
      </c>
      <c r="E11" s="285">
        <f>D11+15+100</f>
        <v>333.8</v>
      </c>
      <c r="F11" s="285">
        <f>E11+50</f>
        <v>383.8</v>
      </c>
      <c r="G11" s="285">
        <f>F11+50</f>
        <v>433.8</v>
      </c>
      <c r="H11" s="285">
        <f>G11</f>
        <v>433.8</v>
      </c>
    </row>
    <row r="12" spans="1:8" ht="18" customHeight="1">
      <c r="A12" s="38" t="s">
        <v>318</v>
      </c>
      <c r="B12" s="39"/>
      <c r="C12" s="84">
        <v>42.644999999999996</v>
      </c>
      <c r="D12" s="84">
        <f>C12</f>
        <v>42.644999999999996</v>
      </c>
      <c r="E12" s="84">
        <f>D12*1.5</f>
        <v>63.967499999999994</v>
      </c>
      <c r="F12" s="84">
        <f>E12*1.1+15</f>
        <v>85.36425</v>
      </c>
      <c r="G12" s="84">
        <f>F12*1.1+25</f>
        <v>118.900675</v>
      </c>
      <c r="H12" s="84">
        <f>G12*1.1</f>
        <v>130.79074250000002</v>
      </c>
    </row>
    <row r="13" spans="1:8" ht="18" customHeight="1">
      <c r="A13" s="38" t="s">
        <v>319</v>
      </c>
      <c r="B13" s="39"/>
      <c r="C13" s="285">
        <v>57.52</v>
      </c>
      <c r="D13" s="285">
        <v>47.52</v>
      </c>
      <c r="E13" s="285">
        <f>47.52+5</f>
        <v>52.52</v>
      </c>
      <c r="F13" s="285">
        <f>47.52+15</f>
        <v>62.52</v>
      </c>
      <c r="G13" s="285">
        <f>47.52+25</f>
        <v>72.52000000000001</v>
      </c>
      <c r="H13" s="285">
        <f>G13</f>
        <v>72.52000000000001</v>
      </c>
    </row>
    <row r="14" spans="1:8" ht="18" customHeight="1">
      <c r="A14" s="41" t="s">
        <v>320</v>
      </c>
      <c r="B14" s="39"/>
      <c r="C14" s="285">
        <v>218</v>
      </c>
      <c r="D14" s="285">
        <f>168+26.06</f>
        <v>194.06</v>
      </c>
      <c r="E14" s="84">
        <f>D14*1.1</f>
        <v>213.466</v>
      </c>
      <c r="F14" s="84">
        <f>E14*1.1</f>
        <v>234.81260000000003</v>
      </c>
      <c r="G14" s="84">
        <f>F14+50</f>
        <v>284.81260000000003</v>
      </c>
      <c r="H14" s="84">
        <f>G14*1.1</f>
        <v>313.29386000000005</v>
      </c>
    </row>
    <row r="15" spans="1:8" ht="18" customHeight="1">
      <c r="A15" s="41" t="s">
        <v>129</v>
      </c>
      <c r="B15" s="39"/>
      <c r="C15" s="84">
        <v>812</v>
      </c>
      <c r="D15" s="84">
        <f>C15-0.15-0.49</f>
        <v>811.36</v>
      </c>
      <c r="E15" s="84">
        <f>D15+50-0.16-0.21-0.55</f>
        <v>860.44</v>
      </c>
      <c r="F15" s="84">
        <f>E15+150-0.21-0.22-0.49</f>
        <v>1009.52</v>
      </c>
      <c r="G15" s="84">
        <f>F15+250-0.21-0.22+2.14-0.49</f>
        <v>1260.74</v>
      </c>
      <c r="H15" s="84">
        <f>G15+150-17.85-0.21-0.22+2.97-0.51</f>
        <v>1394.92</v>
      </c>
    </row>
    <row r="16" spans="1:8" ht="18" customHeight="1">
      <c r="A16" s="41" t="s">
        <v>378</v>
      </c>
      <c r="B16" s="39"/>
      <c r="C16" s="84">
        <v>66.47</v>
      </c>
      <c r="D16" s="84">
        <f>C16</f>
        <v>66.47</v>
      </c>
      <c r="E16" s="84">
        <f>D16+20</f>
        <v>86.47</v>
      </c>
      <c r="F16" s="84">
        <f>E16+15</f>
        <v>101.47</v>
      </c>
      <c r="G16" s="84">
        <f>F16+15</f>
        <v>116.47</v>
      </c>
      <c r="H16" s="84">
        <f>G16+5</f>
        <v>121.47</v>
      </c>
    </row>
    <row r="17" spans="1:8" ht="18" customHeight="1">
      <c r="A17" s="41" t="s">
        <v>379</v>
      </c>
      <c r="B17" s="39"/>
      <c r="C17" s="84">
        <v>11.2</v>
      </c>
      <c r="D17" s="84">
        <f>'1.1g(Loan)'!O117/12</f>
        <v>45.61905333333333</v>
      </c>
      <c r="E17" s="84">
        <f>'1.1g(Loan)'!O214/12</f>
        <v>63.53257550000001</v>
      </c>
      <c r="F17" s="84">
        <f>'1.1g(Loan)'!O288/12</f>
        <v>78.51124349999999</v>
      </c>
      <c r="G17" s="84">
        <f>'1.1g(Loan)'!O361/12</f>
        <v>93.39067616666665</v>
      </c>
      <c r="H17" s="84">
        <f>'1.1g(Loan)'!O434/12</f>
        <v>106.20623066666667</v>
      </c>
    </row>
    <row r="18" spans="1:8" ht="18" customHeight="1">
      <c r="A18" s="41"/>
      <c r="B18" s="39"/>
      <c r="C18" s="84"/>
      <c r="D18" s="84"/>
      <c r="E18" s="84"/>
      <c r="F18" s="84"/>
      <c r="G18" s="84"/>
      <c r="H18" s="84"/>
    </row>
    <row r="19" spans="1:8" ht="18" customHeight="1">
      <c r="A19" s="41" t="s">
        <v>69</v>
      </c>
      <c r="B19" s="39"/>
      <c r="C19" s="285"/>
      <c r="D19" s="285"/>
      <c r="E19" s="285"/>
      <c r="F19" s="285"/>
      <c r="G19" s="84"/>
      <c r="H19" s="84"/>
    </row>
    <row r="20" spans="1:8" ht="18" customHeight="1">
      <c r="A20" s="84" t="s">
        <v>395</v>
      </c>
      <c r="B20" s="39"/>
      <c r="C20" s="285"/>
      <c r="D20" s="285"/>
      <c r="E20" s="285"/>
      <c r="F20" s="285"/>
      <c r="G20" s="285"/>
      <c r="H20" s="285"/>
    </row>
    <row r="21" spans="1:8" ht="18" customHeight="1">
      <c r="A21" s="84" t="s">
        <v>627</v>
      </c>
      <c r="B21" s="39"/>
      <c r="C21" s="12">
        <v>1441.635</v>
      </c>
      <c r="D21" s="12">
        <f>SUM(D11:D20)</f>
        <v>1426.4740533333334</v>
      </c>
      <c r="E21" s="12">
        <f>SUM(E11:E20)</f>
        <v>1674.1960755</v>
      </c>
      <c r="F21" s="12">
        <f>SUM(F11:F20)</f>
        <v>1955.9980935</v>
      </c>
      <c r="G21" s="12">
        <f>SUM(G11:G20)</f>
        <v>2380.6339511666665</v>
      </c>
      <c r="H21" s="12">
        <f>SUM(H11:H20)</f>
        <v>2573.0008331666663</v>
      </c>
    </row>
    <row r="22" spans="1:27" s="121" customFormat="1" ht="17.25" customHeight="1">
      <c r="A22" s="84" t="s">
        <v>626</v>
      </c>
      <c r="B22" s="7"/>
      <c r="C22" s="285">
        <v>810.14</v>
      </c>
      <c r="D22" s="285">
        <f>'1.1g(Loan)'!M143</f>
        <v>1177</v>
      </c>
      <c r="E22" s="285">
        <f>'1.1g(Loan)'!M216</f>
        <v>1379</v>
      </c>
      <c r="F22" s="285">
        <f>'1.1g(Loan)'!M290</f>
        <v>1570</v>
      </c>
      <c r="G22" s="84">
        <f>'1.1g(Loan)'!M363</f>
        <v>1734</v>
      </c>
      <c r="H22" s="84">
        <f>'1.1g(Loan)'!M437</f>
        <v>1902</v>
      </c>
      <c r="I22" s="242"/>
      <c r="J22" s="243"/>
      <c r="K22" s="243"/>
      <c r="L22" s="243"/>
      <c r="M22" s="243"/>
      <c r="N22" s="243"/>
      <c r="O22" s="243"/>
      <c r="Q22" s="244"/>
      <c r="R22" s="244"/>
      <c r="S22" s="244"/>
      <c r="T22" s="244"/>
      <c r="U22" s="244"/>
      <c r="V22" s="244"/>
      <c r="W22" s="243"/>
      <c r="X22" s="243"/>
      <c r="Y22" s="243"/>
      <c r="Z22" s="243"/>
      <c r="AA22" s="243"/>
    </row>
    <row r="23" spans="1:8" ht="18" customHeight="1">
      <c r="A23" s="84"/>
      <c r="B23" s="39"/>
      <c r="C23" s="285"/>
      <c r="D23" s="285"/>
      <c r="E23" s="285"/>
      <c r="F23" s="285"/>
      <c r="G23" s="285"/>
      <c r="H23" s="285"/>
    </row>
    <row r="24" spans="1:8" ht="18" customHeight="1">
      <c r="A24" s="277" t="s">
        <v>289</v>
      </c>
      <c r="B24" s="277"/>
      <c r="C24" s="280">
        <f aca="true" t="shared" si="0" ref="C24:H24">C21+C22+C23</f>
        <v>2251.775</v>
      </c>
      <c r="D24" s="280">
        <f t="shared" si="0"/>
        <v>2603.4740533333334</v>
      </c>
      <c r="E24" s="280">
        <f t="shared" si="0"/>
        <v>3053.1960755</v>
      </c>
      <c r="F24" s="280">
        <f t="shared" si="0"/>
        <v>3525.9980935000003</v>
      </c>
      <c r="G24" s="280">
        <f t="shared" si="0"/>
        <v>4114.6339511666665</v>
      </c>
      <c r="H24" s="280">
        <f t="shared" si="0"/>
        <v>4475.000833166667</v>
      </c>
    </row>
    <row r="26" ht="12.75">
      <c r="C26" s="10"/>
    </row>
    <row r="31" ht="12.75">
      <c r="C31" s="10"/>
    </row>
  </sheetData>
  <sheetProtection/>
  <dataValidations count="1">
    <dataValidation type="decimal" allowBlank="1" showInputMessage="1" showErrorMessage="1" error="Enter in number format only" sqref="B6">
      <formula1>-1000000000000000</formula1>
      <formula2>100000000000000000</formula2>
    </dataValidation>
  </dataValidations>
  <printOptions horizontalCentered="1"/>
  <pageMargins left="0.2" right="0.2" top="1" bottom="1" header="0.5" footer="0.5"/>
  <pageSetup horizontalDpi="600" verticalDpi="600" orientation="landscape" scale="90" r:id="rId1"/>
</worksheet>
</file>

<file path=xl/worksheets/sheet19.xml><?xml version="1.0" encoding="utf-8"?>
<worksheet xmlns="http://schemas.openxmlformats.org/spreadsheetml/2006/main" xmlns:r="http://schemas.openxmlformats.org/officeDocument/2006/relationships">
  <dimension ref="A3:H31"/>
  <sheetViews>
    <sheetView zoomScalePageLayoutView="0" workbookViewId="0" topLeftCell="A10">
      <selection activeCell="A12" sqref="A12"/>
    </sheetView>
  </sheetViews>
  <sheetFormatPr defaultColWidth="9.140625" defaultRowHeight="12.75"/>
  <cols>
    <col min="1" max="1" width="33.140625" style="0" bestFit="1" customWidth="1"/>
    <col min="2" max="2" width="6.7109375" style="0" bestFit="1" customWidth="1"/>
    <col min="3" max="8" width="10.57421875" style="0" bestFit="1" customWidth="1"/>
  </cols>
  <sheetData>
    <row r="3" ht="12.75">
      <c r="A3" s="14" t="s">
        <v>240</v>
      </c>
    </row>
    <row r="4" ht="12.75">
      <c r="A4" s="16"/>
    </row>
    <row r="5" spans="1:8" ht="22.5" customHeight="1">
      <c r="A5" s="252" t="s">
        <v>0</v>
      </c>
      <c r="B5" s="248" t="s">
        <v>13</v>
      </c>
      <c r="C5" s="251" t="s">
        <v>644</v>
      </c>
      <c r="D5" s="252" t="s">
        <v>481</v>
      </c>
      <c r="E5" s="252" t="s">
        <v>482</v>
      </c>
      <c r="F5" s="252" t="s">
        <v>483</v>
      </c>
      <c r="G5" s="252" t="s">
        <v>484</v>
      </c>
      <c r="H5" s="252" t="s">
        <v>485</v>
      </c>
    </row>
    <row r="6" spans="1:8" ht="12.75">
      <c r="A6" s="7" t="s">
        <v>640</v>
      </c>
      <c r="B6" s="7"/>
      <c r="C6" s="285"/>
      <c r="D6" s="285">
        <v>11450</v>
      </c>
      <c r="E6" s="285">
        <v>12219</v>
      </c>
      <c r="F6" s="285">
        <v>13209</v>
      </c>
      <c r="G6" s="285">
        <v>14315</v>
      </c>
      <c r="H6" s="285">
        <v>15539</v>
      </c>
    </row>
    <row r="7" spans="1:8" ht="12.75">
      <c r="A7" s="22" t="s">
        <v>244</v>
      </c>
      <c r="B7" s="7"/>
      <c r="C7" s="285"/>
      <c r="D7" s="285"/>
      <c r="E7" s="285"/>
      <c r="F7" s="285"/>
      <c r="G7" s="285"/>
      <c r="H7" s="285"/>
    </row>
    <row r="8" spans="1:8" ht="12.75">
      <c r="A8" s="36" t="s">
        <v>647</v>
      </c>
      <c r="B8" s="7"/>
      <c r="C8" s="298">
        <v>4283.54</v>
      </c>
      <c r="D8" s="298">
        <f>D6*34.27%</f>
        <v>3923.915</v>
      </c>
      <c r="E8" s="298">
        <f>E6*34.27%</f>
        <v>4187.4513</v>
      </c>
      <c r="F8" s="298">
        <f>F6*34.27%</f>
        <v>4526.7243</v>
      </c>
      <c r="G8" s="298">
        <f>G6*34.27%</f>
        <v>4905.7505</v>
      </c>
      <c r="H8" s="298">
        <f>H6*34.27%</f>
        <v>5325.2153</v>
      </c>
    </row>
    <row r="9" spans="1:8" ht="12.75">
      <c r="A9" s="49" t="s">
        <v>242</v>
      </c>
      <c r="B9" s="7"/>
      <c r="C9" s="298"/>
      <c r="D9" s="298"/>
      <c r="E9" s="298"/>
      <c r="F9" s="298"/>
      <c r="G9" s="298"/>
      <c r="H9" s="298"/>
    </row>
    <row r="10" spans="1:8" ht="12.75">
      <c r="A10" s="49" t="s">
        <v>243</v>
      </c>
      <c r="B10" s="7"/>
      <c r="C10" s="298"/>
      <c r="D10" s="298"/>
      <c r="E10" s="298"/>
      <c r="F10" s="298"/>
      <c r="G10" s="298"/>
      <c r="H10" s="298"/>
    </row>
    <row r="11" spans="1:8" ht="12.75">
      <c r="A11" s="22" t="s">
        <v>246</v>
      </c>
      <c r="B11" s="7"/>
      <c r="C11" s="298"/>
      <c r="D11" s="298"/>
      <c r="E11" s="298"/>
      <c r="F11" s="298"/>
      <c r="G11" s="298"/>
      <c r="H11" s="298"/>
    </row>
    <row r="12" spans="1:8" ht="12.75">
      <c r="A12" s="36" t="s">
        <v>647</v>
      </c>
      <c r="B12" s="7"/>
      <c r="C12" s="298">
        <f>6037.62+(12487*17.45%)</f>
        <v>8216.6015</v>
      </c>
      <c r="D12" s="298">
        <f>D6-D8</f>
        <v>7526.085</v>
      </c>
      <c r="E12" s="298">
        <f>E6-E8</f>
        <v>8031.5487</v>
      </c>
      <c r="F12" s="298">
        <f>F6-F8</f>
        <v>8682.2757</v>
      </c>
      <c r="G12" s="298">
        <f>G6-G8</f>
        <v>9409.2495</v>
      </c>
      <c r="H12" s="298">
        <f>H6-H8</f>
        <v>10213.7847</v>
      </c>
    </row>
    <row r="13" spans="1:8" ht="12.75">
      <c r="A13" s="49" t="s">
        <v>242</v>
      </c>
      <c r="B13" s="7"/>
      <c r="C13" s="298"/>
      <c r="D13" s="298"/>
      <c r="E13" s="298"/>
      <c r="F13" s="298"/>
      <c r="G13" s="298"/>
      <c r="H13" s="298"/>
    </row>
    <row r="14" spans="1:8" ht="12.75">
      <c r="A14" s="49" t="s">
        <v>243</v>
      </c>
      <c r="B14" s="7"/>
      <c r="C14" s="298"/>
      <c r="D14" s="298"/>
      <c r="E14" s="298"/>
      <c r="F14" s="298"/>
      <c r="G14" s="298"/>
      <c r="H14" s="298"/>
    </row>
    <row r="15" spans="1:8" ht="12.75">
      <c r="A15" s="22" t="s">
        <v>376</v>
      </c>
      <c r="B15" s="7"/>
      <c r="C15" s="298"/>
      <c r="D15" s="298"/>
      <c r="E15" s="298"/>
      <c r="F15" s="298"/>
      <c r="G15" s="298"/>
      <c r="H15" s="298"/>
    </row>
    <row r="16" spans="1:8" ht="12.75">
      <c r="A16" s="49" t="s">
        <v>241</v>
      </c>
      <c r="B16" s="7"/>
      <c r="C16" s="298"/>
      <c r="D16" s="298"/>
      <c r="E16" s="298"/>
      <c r="F16" s="298"/>
      <c r="G16" s="298"/>
      <c r="H16" s="298"/>
    </row>
    <row r="17" spans="1:8" ht="12.75">
      <c r="A17" s="49" t="s">
        <v>242</v>
      </c>
      <c r="B17" s="7"/>
      <c r="C17" s="298"/>
      <c r="D17" s="298"/>
      <c r="E17" s="298"/>
      <c r="F17" s="298"/>
      <c r="G17" s="298"/>
      <c r="H17" s="298"/>
    </row>
    <row r="18" spans="1:8" ht="12.75">
      <c r="A18" s="49" t="s">
        <v>243</v>
      </c>
      <c r="B18" s="7"/>
      <c r="C18" s="298"/>
      <c r="D18" s="298"/>
      <c r="E18" s="298"/>
      <c r="F18" s="298"/>
      <c r="G18" s="298"/>
      <c r="H18" s="298"/>
    </row>
    <row r="19" spans="1:8" ht="12.75">
      <c r="A19" s="22" t="s">
        <v>245</v>
      </c>
      <c r="B19" s="7"/>
      <c r="C19" s="298"/>
      <c r="D19" s="298"/>
      <c r="E19" s="298"/>
      <c r="F19" s="298"/>
      <c r="G19" s="298"/>
      <c r="H19" s="298"/>
    </row>
    <row r="20" spans="1:8" ht="12.75">
      <c r="A20" s="49" t="s">
        <v>241</v>
      </c>
      <c r="B20" s="7"/>
      <c r="C20" s="298"/>
      <c r="D20" s="298"/>
      <c r="E20" s="298"/>
      <c r="F20" s="298"/>
      <c r="G20" s="298"/>
      <c r="H20" s="298"/>
    </row>
    <row r="21" spans="1:8" ht="12.75">
      <c r="A21" s="49" t="s">
        <v>242</v>
      </c>
      <c r="B21" s="7"/>
      <c r="C21" s="298"/>
      <c r="D21" s="298"/>
      <c r="E21" s="298"/>
      <c r="F21" s="298"/>
      <c r="G21" s="298"/>
      <c r="H21" s="298"/>
    </row>
    <row r="22" spans="1:8" ht="12.75">
      <c r="A22" s="49" t="s">
        <v>243</v>
      </c>
      <c r="B22" s="7"/>
      <c r="C22" s="298"/>
      <c r="D22" s="298"/>
      <c r="E22" s="298"/>
      <c r="F22" s="298"/>
      <c r="G22" s="298"/>
      <c r="H22" s="298"/>
    </row>
    <row r="23" spans="1:8" ht="12.75">
      <c r="A23" s="22" t="s">
        <v>399</v>
      </c>
      <c r="B23" s="7"/>
      <c r="C23" s="298"/>
      <c r="D23" s="298"/>
      <c r="E23" s="298"/>
      <c r="F23" s="298"/>
      <c r="G23" s="298"/>
      <c r="H23" s="298"/>
    </row>
    <row r="24" spans="1:8" ht="12.75">
      <c r="A24" s="49" t="s">
        <v>241</v>
      </c>
      <c r="B24" s="7"/>
      <c r="C24" s="298">
        <f>675*46.11%</f>
        <v>311.2425</v>
      </c>
      <c r="D24" s="298">
        <v>700</v>
      </c>
      <c r="E24" s="298">
        <v>152.93</v>
      </c>
      <c r="F24" s="298">
        <v>149.59</v>
      </c>
      <c r="G24" s="298">
        <v>117.93</v>
      </c>
      <c r="H24" s="298">
        <v>109.43</v>
      </c>
    </row>
    <row r="25" spans="1:8" ht="12.75">
      <c r="A25" s="49" t="s">
        <v>242</v>
      </c>
      <c r="B25" s="7"/>
      <c r="C25" s="298"/>
      <c r="D25" s="298"/>
      <c r="E25" s="298"/>
      <c r="F25" s="298"/>
      <c r="G25" s="298"/>
      <c r="H25" s="298"/>
    </row>
    <row r="26" spans="1:8" ht="12.75">
      <c r="A26" s="49" t="s">
        <v>243</v>
      </c>
      <c r="B26" s="7"/>
      <c r="C26" s="298"/>
      <c r="D26" s="298"/>
      <c r="E26" s="298"/>
      <c r="F26" s="298"/>
      <c r="G26" s="298"/>
      <c r="H26" s="298"/>
    </row>
    <row r="29" ht="12.75">
      <c r="A29" s="49" t="s">
        <v>241</v>
      </c>
    </row>
    <row r="31" ht="12.75">
      <c r="A31" t="s">
        <v>518</v>
      </c>
    </row>
  </sheetData>
  <sheetProtection/>
  <dataValidations count="1">
    <dataValidation type="decimal" allowBlank="1" showInputMessage="1" showErrorMessage="1" error="Enter in number format only" sqref="B5">
      <formula1>-1000000000000000</formula1>
      <formula2>100000000000000000</formula2>
    </dataValidation>
  </dataValidations>
  <printOptions horizontalCentered="1"/>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C1"/>
    </sheetView>
  </sheetViews>
  <sheetFormatPr defaultColWidth="9.140625" defaultRowHeight="12.75"/>
  <cols>
    <col min="1" max="1" width="5.7109375" style="0" bestFit="1" customWidth="1"/>
    <col min="2" max="2" width="44.28125" style="0" customWidth="1"/>
    <col min="3" max="3" width="11.7109375" style="0" customWidth="1"/>
  </cols>
  <sheetData>
    <row r="1" spans="1:3" s="16" customFormat="1" ht="20.25" customHeight="1">
      <c r="A1" s="284" t="s">
        <v>161</v>
      </c>
      <c r="B1" s="284" t="s">
        <v>162</v>
      </c>
      <c r="C1" s="284" t="s">
        <v>163</v>
      </c>
    </row>
    <row r="2" spans="1:3" s="16" customFormat="1" ht="20.25" customHeight="1">
      <c r="A2" s="64">
        <v>1</v>
      </c>
      <c r="B2" s="65" t="s">
        <v>165</v>
      </c>
      <c r="C2" s="66">
        <v>1</v>
      </c>
    </row>
    <row r="3" spans="1:3" s="16" customFormat="1" ht="20.25" customHeight="1">
      <c r="A3" s="64">
        <f>+A2+1</f>
        <v>2</v>
      </c>
      <c r="B3" s="65" t="s">
        <v>166</v>
      </c>
      <c r="C3" s="64" t="s">
        <v>185</v>
      </c>
    </row>
    <row r="4" spans="1:3" s="16" customFormat="1" ht="20.25" customHeight="1">
      <c r="A4" s="64">
        <f aca="true" t="shared" si="0" ref="A4:A27">+A3+1</f>
        <v>3</v>
      </c>
      <c r="B4" s="65" t="s">
        <v>39</v>
      </c>
      <c r="C4" s="64" t="s">
        <v>186</v>
      </c>
    </row>
    <row r="5" spans="1:3" s="16" customFormat="1" ht="20.25" customHeight="1">
      <c r="A5" s="64">
        <f t="shared" si="0"/>
        <v>4</v>
      </c>
      <c r="B5" s="65" t="s">
        <v>167</v>
      </c>
      <c r="C5" s="64" t="s">
        <v>187</v>
      </c>
    </row>
    <row r="6" spans="1:3" s="16" customFormat="1" ht="20.25" customHeight="1">
      <c r="A6" s="64">
        <f t="shared" si="0"/>
        <v>5</v>
      </c>
      <c r="B6" s="65" t="s">
        <v>168</v>
      </c>
      <c r="C6" s="64" t="s">
        <v>188</v>
      </c>
    </row>
    <row r="7" spans="1:3" s="16" customFormat="1" ht="20.25" customHeight="1">
      <c r="A7" s="64">
        <f t="shared" si="0"/>
        <v>6</v>
      </c>
      <c r="B7" s="65" t="s">
        <v>56</v>
      </c>
      <c r="C7" s="64" t="s">
        <v>189</v>
      </c>
    </row>
    <row r="8" spans="1:3" s="16" customFormat="1" ht="20.25" customHeight="1">
      <c r="A8" s="64">
        <f t="shared" si="0"/>
        <v>7</v>
      </c>
      <c r="B8" s="65" t="s">
        <v>169</v>
      </c>
      <c r="C8" s="64" t="s">
        <v>190</v>
      </c>
    </row>
    <row r="9" spans="1:3" s="16" customFormat="1" ht="20.25" customHeight="1">
      <c r="A9" s="64">
        <f t="shared" si="0"/>
        <v>8</v>
      </c>
      <c r="B9" s="65" t="s">
        <v>170</v>
      </c>
      <c r="C9" s="64" t="s">
        <v>191</v>
      </c>
    </row>
    <row r="10" spans="1:3" s="16" customFormat="1" ht="20.25" customHeight="1">
      <c r="A10" s="64">
        <f t="shared" si="0"/>
        <v>9</v>
      </c>
      <c r="B10" s="65" t="s">
        <v>171</v>
      </c>
      <c r="C10" s="64" t="s">
        <v>192</v>
      </c>
    </row>
    <row r="11" spans="1:3" s="16" customFormat="1" ht="20.25" customHeight="1">
      <c r="A11" s="64">
        <f t="shared" si="0"/>
        <v>10</v>
      </c>
      <c r="B11" s="65" t="s">
        <v>172</v>
      </c>
      <c r="C11" s="64" t="s">
        <v>193</v>
      </c>
    </row>
    <row r="12" spans="1:3" s="16" customFormat="1" ht="20.25" customHeight="1">
      <c r="A12" s="64">
        <f t="shared" si="0"/>
        <v>11</v>
      </c>
      <c r="B12" s="65" t="s">
        <v>174</v>
      </c>
      <c r="C12" s="64" t="s">
        <v>195</v>
      </c>
    </row>
    <row r="13" spans="1:3" s="16" customFormat="1" ht="20.25" customHeight="1">
      <c r="A13" s="64">
        <f t="shared" si="0"/>
        <v>12</v>
      </c>
      <c r="B13" s="65" t="s">
        <v>173</v>
      </c>
      <c r="C13" s="64" t="s">
        <v>194</v>
      </c>
    </row>
    <row r="14" spans="1:3" s="16" customFormat="1" ht="20.25" customHeight="1">
      <c r="A14" s="64">
        <f t="shared" si="0"/>
        <v>13</v>
      </c>
      <c r="B14" s="65" t="s">
        <v>175</v>
      </c>
      <c r="C14" s="64" t="s">
        <v>196</v>
      </c>
    </row>
    <row r="15" spans="1:3" s="16" customFormat="1" ht="20.25" customHeight="1">
      <c r="A15" s="64">
        <f t="shared" si="0"/>
        <v>14</v>
      </c>
      <c r="B15" s="65" t="s">
        <v>62</v>
      </c>
      <c r="C15" s="64" t="s">
        <v>197</v>
      </c>
    </row>
    <row r="16" spans="1:3" s="16" customFormat="1" ht="20.25" customHeight="1">
      <c r="A16" s="64">
        <f t="shared" si="0"/>
        <v>15</v>
      </c>
      <c r="B16" s="65" t="s">
        <v>74</v>
      </c>
      <c r="C16" s="64" t="s">
        <v>198</v>
      </c>
    </row>
    <row r="17" spans="1:3" s="16" customFormat="1" ht="20.25" customHeight="1">
      <c r="A17" s="64">
        <f t="shared" si="0"/>
        <v>16</v>
      </c>
      <c r="B17" s="65" t="s">
        <v>176</v>
      </c>
      <c r="C17" s="64" t="s">
        <v>199</v>
      </c>
    </row>
    <row r="18" spans="1:3" s="16" customFormat="1" ht="20.25" customHeight="1">
      <c r="A18" s="64">
        <f t="shared" si="0"/>
        <v>17</v>
      </c>
      <c r="B18" s="65" t="s">
        <v>71</v>
      </c>
      <c r="C18" s="64" t="s">
        <v>200</v>
      </c>
    </row>
    <row r="19" spans="1:3" s="16" customFormat="1" ht="20.25" customHeight="1">
      <c r="A19" s="64">
        <f t="shared" si="0"/>
        <v>18</v>
      </c>
      <c r="B19" s="65" t="s">
        <v>177</v>
      </c>
      <c r="C19" s="64">
        <v>1.2</v>
      </c>
    </row>
    <row r="20" spans="1:3" s="16" customFormat="1" ht="20.25" customHeight="1">
      <c r="A20" s="64">
        <f t="shared" si="0"/>
        <v>19</v>
      </c>
      <c r="B20" s="65" t="s">
        <v>178</v>
      </c>
      <c r="C20" s="64" t="s">
        <v>201</v>
      </c>
    </row>
    <row r="21" spans="1:3" s="16" customFormat="1" ht="20.25" customHeight="1">
      <c r="A21" s="64">
        <f t="shared" si="0"/>
        <v>20</v>
      </c>
      <c r="B21" s="65" t="s">
        <v>179</v>
      </c>
      <c r="C21" s="64" t="s">
        <v>202</v>
      </c>
    </row>
    <row r="22" spans="1:3" s="16" customFormat="1" ht="20.25" customHeight="1">
      <c r="A22" s="64">
        <f t="shared" si="0"/>
        <v>21</v>
      </c>
      <c r="B22" s="65" t="s">
        <v>180</v>
      </c>
      <c r="C22" s="64" t="s">
        <v>203</v>
      </c>
    </row>
    <row r="23" spans="1:3" s="16" customFormat="1" ht="20.25" customHeight="1">
      <c r="A23" s="64">
        <f t="shared" si="0"/>
        <v>22</v>
      </c>
      <c r="B23" s="65" t="s">
        <v>181</v>
      </c>
      <c r="C23" s="64">
        <v>3.3</v>
      </c>
    </row>
    <row r="24" spans="1:3" s="16" customFormat="1" ht="20.25" customHeight="1">
      <c r="A24" s="64">
        <f t="shared" si="0"/>
        <v>23</v>
      </c>
      <c r="B24" s="65" t="s">
        <v>182</v>
      </c>
      <c r="C24" s="64">
        <v>7</v>
      </c>
    </row>
    <row r="25" spans="1:3" s="16" customFormat="1" ht="20.25" customHeight="1">
      <c r="A25" s="64">
        <f t="shared" si="0"/>
        <v>24</v>
      </c>
      <c r="B25" s="65" t="s">
        <v>183</v>
      </c>
      <c r="C25" s="64">
        <v>8</v>
      </c>
    </row>
    <row r="26" spans="1:3" s="16" customFormat="1" ht="20.25" customHeight="1">
      <c r="A26" s="64">
        <f t="shared" si="0"/>
        <v>25</v>
      </c>
      <c r="B26" s="65" t="s">
        <v>184</v>
      </c>
      <c r="C26" s="64">
        <v>9</v>
      </c>
    </row>
    <row r="27" spans="1:3" s="16" customFormat="1" ht="20.25" customHeight="1">
      <c r="A27" s="64">
        <f t="shared" si="0"/>
        <v>26</v>
      </c>
      <c r="B27" s="65" t="s">
        <v>164</v>
      </c>
      <c r="C27" s="64">
        <v>10</v>
      </c>
    </row>
    <row r="28" s="16" customFormat="1" ht="20.25" customHeight="1"/>
    <row r="29" s="16" customFormat="1" ht="20.25" customHeight="1"/>
    <row r="30" s="16" customFormat="1" ht="20.25" customHeight="1"/>
  </sheetData>
  <sheetProtection/>
  <printOptions horizontalCentered="1"/>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53"/>
  <sheetViews>
    <sheetView zoomScalePageLayoutView="0" workbookViewId="0" topLeftCell="A37">
      <selection activeCell="G5" sqref="G5"/>
    </sheetView>
  </sheetViews>
  <sheetFormatPr defaultColWidth="9.140625" defaultRowHeight="12.75"/>
  <cols>
    <col min="1" max="1" width="35.140625" style="0" customWidth="1"/>
    <col min="2" max="2" width="6.7109375" style="0" bestFit="1" customWidth="1"/>
    <col min="3" max="3" width="11.421875" style="0" customWidth="1"/>
    <col min="4" max="8" width="10.140625" style="0" customWidth="1"/>
    <col min="9" max="9" width="9.140625" style="110" customWidth="1"/>
  </cols>
  <sheetData>
    <row r="1" ht="12.75">
      <c r="A1" s="15"/>
    </row>
    <row r="2" ht="12.75">
      <c r="A2" s="23" t="s">
        <v>236</v>
      </c>
    </row>
    <row r="3" ht="12.75">
      <c r="A3" s="32" t="s">
        <v>237</v>
      </c>
    </row>
    <row r="4" ht="12.75">
      <c r="A4" s="28"/>
    </row>
    <row r="5" spans="1:7" ht="12.75">
      <c r="A5" s="81" t="s">
        <v>504</v>
      </c>
      <c r="G5" t="s">
        <v>375</v>
      </c>
    </row>
    <row r="6" spans="1:8" ht="36.75" customHeight="1">
      <c r="A6" s="275" t="s">
        <v>128</v>
      </c>
      <c r="B6" s="248" t="s">
        <v>13</v>
      </c>
      <c r="C6" s="276" t="s">
        <v>644</v>
      </c>
      <c r="D6" s="248" t="s">
        <v>481</v>
      </c>
      <c r="E6" s="248" t="s">
        <v>482</v>
      </c>
      <c r="F6" s="248" t="s">
        <v>483</v>
      </c>
      <c r="G6" s="248" t="s">
        <v>484</v>
      </c>
      <c r="H6" s="248" t="s">
        <v>485</v>
      </c>
    </row>
    <row r="7" spans="1:8" ht="16.5" customHeight="1">
      <c r="A7" s="299" t="s">
        <v>238</v>
      </c>
      <c r="B7" s="285"/>
      <c r="C7" s="84">
        <v>975.1100000000001</v>
      </c>
      <c r="D7" s="84">
        <f>+'7(Cont.)'!F18</f>
        <v>996.5900000000001</v>
      </c>
      <c r="E7" s="84">
        <f>+'7(Cont.)'!F25</f>
        <v>1017.0500000000002</v>
      </c>
      <c r="F7" s="84">
        <f>+'7(Cont.)'!F32</f>
        <v>1110.8400000000001</v>
      </c>
      <c r="G7" s="84">
        <f>+'7(Cont.)'!F39</f>
        <v>1281.5200000000002</v>
      </c>
      <c r="H7" s="84">
        <f>+'7(Cont.)'!F46</f>
        <v>1457.8095000000003</v>
      </c>
    </row>
    <row r="8" spans="1:8" ht="16.5" customHeight="1">
      <c r="A8" s="299" t="s">
        <v>394</v>
      </c>
      <c r="B8" s="285"/>
      <c r="C8" s="84">
        <v>0</v>
      </c>
      <c r="D8" s="84">
        <v>0</v>
      </c>
      <c r="E8" s="84">
        <v>0</v>
      </c>
      <c r="F8" s="84">
        <v>0</v>
      </c>
      <c r="G8" s="84">
        <v>0</v>
      </c>
      <c r="H8" s="84">
        <v>0</v>
      </c>
    </row>
    <row r="9" spans="1:8" ht="16.5" customHeight="1">
      <c r="A9" s="299"/>
      <c r="B9" s="285"/>
      <c r="C9" s="84"/>
      <c r="D9" s="84"/>
      <c r="E9" s="84"/>
      <c r="F9" s="84"/>
      <c r="G9" s="84"/>
      <c r="H9" s="84"/>
    </row>
    <row r="10" spans="1:8" ht="16.5" customHeight="1">
      <c r="A10" s="84" t="s">
        <v>393</v>
      </c>
      <c r="B10" s="285"/>
      <c r="C10" s="84"/>
      <c r="D10" s="84"/>
      <c r="E10" s="84"/>
      <c r="F10" s="84"/>
      <c r="G10" s="84"/>
      <c r="H10" s="84"/>
    </row>
    <row r="11" spans="1:8" ht="16.5" customHeight="1">
      <c r="A11" s="84" t="s">
        <v>239</v>
      </c>
      <c r="B11" s="285"/>
      <c r="C11" s="84">
        <v>31.55</v>
      </c>
      <c r="D11" s="84">
        <f>+C11+5</f>
        <v>36.55</v>
      </c>
      <c r="E11" s="84">
        <f>+D11+5</f>
        <v>41.55</v>
      </c>
      <c r="F11" s="84">
        <f>+E11+5</f>
        <v>46.55</v>
      </c>
      <c r="G11" s="84">
        <f>+F11+5</f>
        <v>51.55</v>
      </c>
      <c r="H11" s="84">
        <f>+G11+5</f>
        <v>56.55</v>
      </c>
    </row>
    <row r="12" spans="1:8" ht="16.5" customHeight="1">
      <c r="A12" s="84" t="s">
        <v>395</v>
      </c>
      <c r="B12" s="285"/>
      <c r="C12" s="84">
        <v>0</v>
      </c>
      <c r="D12" s="84">
        <f>+C12</f>
        <v>0</v>
      </c>
      <c r="E12" s="84">
        <f>+D12</f>
        <v>0</v>
      </c>
      <c r="F12" s="84">
        <f>+E12</f>
        <v>0</v>
      </c>
      <c r="G12" s="84">
        <f>+F12</f>
        <v>0</v>
      </c>
      <c r="H12" s="84">
        <f>+G12</f>
        <v>0</v>
      </c>
    </row>
    <row r="13" spans="1:10" ht="16.5" customHeight="1">
      <c r="A13" s="84" t="s">
        <v>69</v>
      </c>
      <c r="B13" s="285"/>
      <c r="C13" s="84">
        <v>1758.91</v>
      </c>
      <c r="D13" s="84">
        <f>+C13-60</f>
        <v>1698.91</v>
      </c>
      <c r="E13" s="84">
        <f>+D13+37.16</f>
        <v>1736.0700000000002</v>
      </c>
      <c r="F13" s="84">
        <f>+E13+50</f>
        <v>1786.0700000000002</v>
      </c>
      <c r="G13" s="84">
        <f>+F13+3.07</f>
        <v>1789.14</v>
      </c>
      <c r="H13" s="84">
        <f>+G13+30</f>
        <v>1819.14</v>
      </c>
      <c r="J13" s="20"/>
    </row>
    <row r="14" spans="1:8" ht="16.5" customHeight="1">
      <c r="A14" s="84" t="s">
        <v>511</v>
      </c>
      <c r="B14" s="285"/>
      <c r="C14" s="84"/>
      <c r="D14" s="84"/>
      <c r="E14" s="84"/>
      <c r="F14" s="84"/>
      <c r="G14" s="84"/>
      <c r="H14" s="84"/>
    </row>
    <row r="15" spans="1:8" ht="16.5" customHeight="1">
      <c r="A15" s="84" t="s">
        <v>512</v>
      </c>
      <c r="B15" s="285"/>
      <c r="C15" s="84"/>
      <c r="D15" s="84"/>
      <c r="E15" s="84"/>
      <c r="F15" s="84"/>
      <c r="G15" s="84"/>
      <c r="H15" s="84"/>
    </row>
    <row r="16" spans="1:8" s="110" customFormat="1" ht="16.5" customHeight="1">
      <c r="A16" s="84" t="s">
        <v>392</v>
      </c>
      <c r="B16" s="285"/>
      <c r="C16" s="84">
        <v>747.9776429867532</v>
      </c>
      <c r="D16" s="84">
        <f>+C16+('1a(RRB)'!D18*1b!D7*1b!D10)</f>
        <v>993.1225055372198</v>
      </c>
      <c r="E16" s="84">
        <f>+D16+('1a(RRB)'!E18*1b!E7*1b!E10)</f>
        <v>1285.1319314302477</v>
      </c>
      <c r="F16" s="84">
        <f>+E16+('1a(RRB)'!F18*1b!F7*1b!F10)</f>
        <v>1658.9212682933448</v>
      </c>
      <c r="G16" s="84">
        <f>+F16+('1a(RRB)'!G18*1b!G7*1b!G10)</f>
        <v>2146.048847913497</v>
      </c>
      <c r="H16" s="84">
        <f>+G16+('1a(RRB)'!H18*1b!H7*1b!H10)</f>
        <v>2744.598667724399</v>
      </c>
    </row>
    <row r="17" spans="1:8" ht="16.5" customHeight="1">
      <c r="A17" s="84" t="s">
        <v>513</v>
      </c>
      <c r="B17" s="285"/>
      <c r="C17" s="84"/>
      <c r="D17" s="84"/>
      <c r="E17" s="84"/>
      <c r="F17" s="84"/>
      <c r="G17" s="84"/>
      <c r="H17" s="84"/>
    </row>
    <row r="18" spans="1:8" ht="16.5" customHeight="1">
      <c r="A18" s="84"/>
      <c r="B18" s="285"/>
      <c r="C18" s="84"/>
      <c r="D18" s="84"/>
      <c r="E18" s="84"/>
      <c r="F18" s="84"/>
      <c r="G18" s="84"/>
      <c r="H18" s="84"/>
    </row>
    <row r="19" spans="1:8" ht="16.5" customHeight="1">
      <c r="A19" s="84"/>
      <c r="B19" s="285"/>
      <c r="C19" s="84"/>
      <c r="D19" s="84"/>
      <c r="E19" s="84"/>
      <c r="F19" s="84"/>
      <c r="G19" s="84"/>
      <c r="H19" s="84"/>
    </row>
    <row r="20" spans="1:8" ht="16.5" customHeight="1">
      <c r="A20" s="281" t="s">
        <v>289</v>
      </c>
      <c r="B20" s="282"/>
      <c r="C20" s="260">
        <f aca="true" t="shared" si="0" ref="C20:H20">+C7+C10+C11+C16</f>
        <v>1754.6376429867532</v>
      </c>
      <c r="D20" s="260">
        <f t="shared" si="0"/>
        <v>2026.26250553722</v>
      </c>
      <c r="E20" s="260">
        <f t="shared" si="0"/>
        <v>2343.7319314302476</v>
      </c>
      <c r="F20" s="260">
        <f t="shared" si="0"/>
        <v>2816.311268293345</v>
      </c>
      <c r="G20" s="260">
        <f t="shared" si="0"/>
        <v>3479.118847913497</v>
      </c>
      <c r="H20" s="260">
        <f t="shared" si="0"/>
        <v>4258.9581677244</v>
      </c>
    </row>
    <row r="23" spans="3:8" ht="12.75">
      <c r="C23" s="20"/>
      <c r="D23" s="20"/>
      <c r="E23" s="20"/>
      <c r="F23" s="20"/>
      <c r="G23" s="20"/>
      <c r="H23" s="20"/>
    </row>
    <row r="25" ht="12.75">
      <c r="A25" t="s">
        <v>622</v>
      </c>
    </row>
    <row r="26" ht="12.75">
      <c r="A26" t="s">
        <v>621</v>
      </c>
    </row>
    <row r="27" ht="12.75">
      <c r="A27" t="s">
        <v>623</v>
      </c>
    </row>
    <row r="31" ht="12.75">
      <c r="A31" s="15" t="s">
        <v>410</v>
      </c>
    </row>
    <row r="32" spans="1:8" ht="23.25" customHeight="1">
      <c r="A32" s="107" t="s">
        <v>128</v>
      </c>
      <c r="B32" s="108" t="s">
        <v>13</v>
      </c>
      <c r="C32" s="108" t="s">
        <v>418</v>
      </c>
      <c r="D32" s="108" t="s">
        <v>481</v>
      </c>
      <c r="E32" s="108" t="s">
        <v>482</v>
      </c>
      <c r="F32" s="108" t="s">
        <v>483</v>
      </c>
      <c r="G32" s="108" t="s">
        <v>484</v>
      </c>
      <c r="H32" s="108" t="s">
        <v>485</v>
      </c>
    </row>
    <row r="33" spans="1:8" ht="16.5" customHeight="1">
      <c r="A33" s="115" t="s">
        <v>238</v>
      </c>
      <c r="B33" s="112"/>
      <c r="C33" s="111"/>
      <c r="D33" s="111"/>
      <c r="E33" s="111"/>
      <c r="F33" s="111"/>
      <c r="G33" s="111"/>
      <c r="H33" s="111"/>
    </row>
    <row r="34" spans="1:8" ht="16.5" customHeight="1">
      <c r="A34" s="83" t="s">
        <v>394</v>
      </c>
      <c r="B34" s="7"/>
      <c r="C34" s="160"/>
      <c r="D34" s="160"/>
      <c r="E34" s="160"/>
      <c r="F34" s="160"/>
      <c r="G34" s="160"/>
      <c r="H34" s="160"/>
    </row>
    <row r="35" spans="1:8" ht="16.5" customHeight="1">
      <c r="A35" s="84" t="s">
        <v>393</v>
      </c>
      <c r="B35" s="7"/>
      <c r="C35" s="160"/>
      <c r="D35" s="160"/>
      <c r="E35" s="160"/>
      <c r="F35" s="160"/>
      <c r="G35" s="160"/>
      <c r="H35" s="160"/>
    </row>
    <row r="36" spans="1:8" ht="16.5" customHeight="1">
      <c r="A36" s="84" t="s">
        <v>239</v>
      </c>
      <c r="B36" s="7"/>
      <c r="C36" s="13"/>
      <c r="D36" s="13"/>
      <c r="E36" s="13"/>
      <c r="F36" s="13"/>
      <c r="G36" s="13"/>
      <c r="H36" s="13"/>
    </row>
    <row r="37" spans="1:8" ht="16.5" customHeight="1">
      <c r="A37" s="84" t="s">
        <v>395</v>
      </c>
      <c r="B37" s="7"/>
      <c r="C37" s="13"/>
      <c r="D37" s="13"/>
      <c r="E37" s="13"/>
      <c r="F37" s="13"/>
      <c r="G37" s="13"/>
      <c r="H37" s="13"/>
    </row>
    <row r="38" spans="1:8" ht="16.5" customHeight="1">
      <c r="A38" s="84" t="s">
        <v>69</v>
      </c>
      <c r="B38" s="7"/>
      <c r="C38" s="13"/>
      <c r="D38" s="13"/>
      <c r="E38" s="13"/>
      <c r="F38" s="13"/>
      <c r="G38" s="13"/>
      <c r="H38" s="13"/>
    </row>
    <row r="39" spans="1:8" ht="16.5" customHeight="1">
      <c r="A39" s="84" t="s">
        <v>392</v>
      </c>
      <c r="B39" s="7"/>
      <c r="C39" s="13"/>
      <c r="D39" s="13"/>
      <c r="E39" s="13"/>
      <c r="F39" s="13"/>
      <c r="G39" s="13"/>
      <c r="H39" s="13"/>
    </row>
    <row r="40" spans="1:8" ht="16.5" customHeight="1">
      <c r="A40" s="42" t="s">
        <v>289</v>
      </c>
      <c r="B40" s="30"/>
      <c r="C40" s="31">
        <f aca="true" t="shared" si="1" ref="C40:H40">+C33+C35+C36+C39</f>
        <v>0</v>
      </c>
      <c r="D40" s="31">
        <f t="shared" si="1"/>
        <v>0</v>
      </c>
      <c r="E40" s="31">
        <f t="shared" si="1"/>
        <v>0</v>
      </c>
      <c r="F40" s="31">
        <f t="shared" si="1"/>
        <v>0</v>
      </c>
      <c r="G40" s="31">
        <f t="shared" si="1"/>
        <v>0</v>
      </c>
      <c r="H40" s="31">
        <f t="shared" si="1"/>
        <v>0</v>
      </c>
    </row>
    <row r="44" ht="12.75">
      <c r="A44" s="15" t="s">
        <v>505</v>
      </c>
    </row>
    <row r="45" spans="1:8" ht="23.25" customHeight="1">
      <c r="A45" s="107" t="s">
        <v>128</v>
      </c>
      <c r="B45" s="108" t="s">
        <v>13</v>
      </c>
      <c r="C45" s="108" t="s">
        <v>418</v>
      </c>
      <c r="D45" s="108" t="s">
        <v>481</v>
      </c>
      <c r="E45" s="108" t="s">
        <v>482</v>
      </c>
      <c r="F45" s="108" t="s">
        <v>483</v>
      </c>
      <c r="G45" s="108" t="s">
        <v>484</v>
      </c>
      <c r="H45" s="108" t="s">
        <v>485</v>
      </c>
    </row>
    <row r="46" spans="1:8" ht="16.5" customHeight="1">
      <c r="A46" s="115" t="s">
        <v>238</v>
      </c>
      <c r="B46" s="112"/>
      <c r="C46" s="111"/>
      <c r="D46" s="111"/>
      <c r="E46" s="111"/>
      <c r="F46" s="111"/>
      <c r="G46" s="111"/>
      <c r="H46" s="111"/>
    </row>
    <row r="47" spans="1:8" ht="16.5" customHeight="1">
      <c r="A47" s="83" t="s">
        <v>394</v>
      </c>
      <c r="B47" s="7"/>
      <c r="C47" s="160"/>
      <c r="D47" s="160"/>
      <c r="E47" s="160"/>
      <c r="F47" s="160"/>
      <c r="G47" s="160"/>
      <c r="H47" s="160"/>
    </row>
    <row r="48" spans="1:8" ht="16.5" customHeight="1">
      <c r="A48" s="84" t="s">
        <v>393</v>
      </c>
      <c r="B48" s="7"/>
      <c r="C48" s="160"/>
      <c r="D48" s="160"/>
      <c r="E48" s="160"/>
      <c r="F48" s="160"/>
      <c r="G48" s="160"/>
      <c r="H48" s="160"/>
    </row>
    <row r="49" spans="1:8" ht="16.5" customHeight="1">
      <c r="A49" s="84" t="s">
        <v>239</v>
      </c>
      <c r="B49" s="7"/>
      <c r="C49" s="13"/>
      <c r="D49" s="13"/>
      <c r="E49" s="13"/>
      <c r="F49" s="13"/>
      <c r="G49" s="13"/>
      <c r="H49" s="13"/>
    </row>
    <row r="50" spans="1:8" ht="16.5" customHeight="1">
      <c r="A50" s="84" t="s">
        <v>395</v>
      </c>
      <c r="B50" s="7"/>
      <c r="C50" s="13"/>
      <c r="D50" s="13"/>
      <c r="E50" s="13"/>
      <c r="F50" s="13"/>
      <c r="G50" s="13"/>
      <c r="H50" s="13"/>
    </row>
    <row r="51" spans="1:8" ht="16.5" customHeight="1">
      <c r="A51" s="84" t="s">
        <v>69</v>
      </c>
      <c r="B51" s="7"/>
      <c r="C51" s="13"/>
      <c r="D51" s="13"/>
      <c r="E51" s="13"/>
      <c r="F51" s="13"/>
      <c r="G51" s="13"/>
      <c r="H51" s="13"/>
    </row>
    <row r="52" spans="1:8" ht="16.5" customHeight="1">
      <c r="A52" s="84" t="s">
        <v>392</v>
      </c>
      <c r="B52" s="7"/>
      <c r="C52" s="13"/>
      <c r="D52" s="13"/>
      <c r="E52" s="13"/>
      <c r="F52" s="13"/>
      <c r="G52" s="13"/>
      <c r="H52" s="13"/>
    </row>
    <row r="53" spans="1:8" ht="16.5" customHeight="1">
      <c r="A53" s="42" t="s">
        <v>289</v>
      </c>
      <c r="B53" s="30"/>
      <c r="C53" s="31">
        <f aca="true" t="shared" si="2" ref="C53:H53">+C46+C48+C49+C52</f>
        <v>0</v>
      </c>
      <c r="D53" s="31">
        <f t="shared" si="2"/>
        <v>0</v>
      </c>
      <c r="E53" s="31">
        <f t="shared" si="2"/>
        <v>0</v>
      </c>
      <c r="F53" s="31">
        <f t="shared" si="2"/>
        <v>0</v>
      </c>
      <c r="G53" s="31">
        <f t="shared" si="2"/>
        <v>0</v>
      </c>
      <c r="H53" s="31">
        <f t="shared" si="2"/>
        <v>0</v>
      </c>
    </row>
  </sheetData>
  <sheetProtection/>
  <dataValidations count="1">
    <dataValidation type="decimal" allowBlank="1" showInputMessage="1" showErrorMessage="1" error="Enter in number format only" sqref="B6 B32 B45">
      <formula1>-1000000000000000</formula1>
      <formula2>100000000000000000</formula2>
    </dataValidation>
  </dataValidations>
  <printOptions horizontalCentered="1"/>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17"/>
  <sheetViews>
    <sheetView zoomScalePageLayoutView="0" workbookViewId="0" topLeftCell="A1">
      <selection activeCell="F18" sqref="F18"/>
    </sheetView>
  </sheetViews>
  <sheetFormatPr defaultColWidth="9.140625" defaultRowHeight="12.75"/>
  <cols>
    <col min="1" max="1" width="7.28125" style="0" customWidth="1"/>
    <col min="2" max="2" width="29.7109375" style="0" customWidth="1"/>
  </cols>
  <sheetData>
    <row r="1" spans="1:13" ht="18">
      <c r="A1" s="436" t="s">
        <v>452</v>
      </c>
      <c r="B1" s="436"/>
      <c r="C1" s="436"/>
      <c r="D1" s="436"/>
      <c r="E1" s="436"/>
      <c r="F1" s="436"/>
      <c r="G1" s="436"/>
      <c r="H1" s="436"/>
      <c r="I1" s="436"/>
      <c r="J1" s="436"/>
      <c r="K1" s="436"/>
      <c r="L1" s="436"/>
      <c r="M1" s="436"/>
    </row>
    <row r="2" ht="24.75" customHeight="1">
      <c r="L2" t="s">
        <v>375</v>
      </c>
    </row>
    <row r="3" spans="1:13" s="68" customFormat="1" ht="22.5" customHeight="1">
      <c r="A3" s="116" t="s">
        <v>161</v>
      </c>
      <c r="B3" s="127" t="s">
        <v>0</v>
      </c>
      <c r="C3" s="125" t="s">
        <v>413</v>
      </c>
      <c r="D3" s="124" t="s">
        <v>414</v>
      </c>
      <c r="E3" s="67" t="s">
        <v>415</v>
      </c>
      <c r="F3" s="67" t="s">
        <v>416</v>
      </c>
      <c r="G3" s="67" t="s">
        <v>417</v>
      </c>
      <c r="H3" s="67" t="s">
        <v>418</v>
      </c>
      <c r="I3" s="124" t="s">
        <v>481</v>
      </c>
      <c r="J3" s="124" t="s">
        <v>482</v>
      </c>
      <c r="K3" s="124" t="s">
        <v>483</v>
      </c>
      <c r="L3" s="124" t="s">
        <v>484</v>
      </c>
      <c r="M3" s="124" t="s">
        <v>485</v>
      </c>
    </row>
    <row r="4" spans="1:13" s="68" customFormat="1" ht="22.5" customHeight="1">
      <c r="A4" s="67"/>
      <c r="B4" s="34" t="s">
        <v>451</v>
      </c>
      <c r="C4" s="124"/>
      <c r="D4" s="124"/>
      <c r="E4" s="124"/>
      <c r="F4" s="124"/>
      <c r="G4" s="124"/>
      <c r="H4" s="124"/>
      <c r="I4" s="124"/>
      <c r="J4" s="124"/>
      <c r="K4" s="124"/>
      <c r="L4" s="124"/>
      <c r="M4" s="124"/>
    </row>
    <row r="5" spans="1:13" ht="18" customHeight="1">
      <c r="A5" s="64">
        <v>1</v>
      </c>
      <c r="B5" s="7" t="s">
        <v>440</v>
      </c>
      <c r="C5" s="157">
        <v>63.46</v>
      </c>
      <c r="D5" s="172">
        <v>47.93</v>
      </c>
      <c r="E5" s="172">
        <v>42.12</v>
      </c>
      <c r="F5" s="172">
        <v>47.1</v>
      </c>
      <c r="G5" s="172">
        <v>52.63</v>
      </c>
      <c r="H5" s="7"/>
      <c r="I5" s="7"/>
      <c r="J5" s="7"/>
      <c r="K5" s="7"/>
      <c r="L5" s="7"/>
      <c r="M5" s="7"/>
    </row>
    <row r="6" spans="1:13" ht="18" customHeight="1">
      <c r="A6" s="64">
        <v>2</v>
      </c>
      <c r="B6" s="7" t="s">
        <v>441</v>
      </c>
      <c r="C6" s="172">
        <v>3.45</v>
      </c>
      <c r="D6" s="172">
        <v>2.33</v>
      </c>
      <c r="E6" s="172">
        <v>1.73</v>
      </c>
      <c r="F6" s="172">
        <v>1.55</v>
      </c>
      <c r="G6" s="157">
        <v>1.52</v>
      </c>
      <c r="H6" s="7"/>
      <c r="I6" s="7"/>
      <c r="J6" s="7"/>
      <c r="K6" s="7"/>
      <c r="L6" s="7"/>
      <c r="M6" s="7"/>
    </row>
    <row r="7" spans="1:13" ht="18" customHeight="1">
      <c r="A7" s="7"/>
      <c r="B7" s="87" t="s">
        <v>448</v>
      </c>
      <c r="C7" s="8">
        <f>+C5+C6</f>
        <v>66.91</v>
      </c>
      <c r="D7" s="8">
        <f aca="true" t="shared" si="0" ref="D7:M7">+D5+D6</f>
        <v>50.26</v>
      </c>
      <c r="E7" s="8">
        <f t="shared" si="0"/>
        <v>43.849999999999994</v>
      </c>
      <c r="F7" s="8">
        <f t="shared" si="0"/>
        <v>48.65</v>
      </c>
      <c r="G7" s="8">
        <f t="shared" si="0"/>
        <v>54.150000000000006</v>
      </c>
      <c r="H7" s="8">
        <f t="shared" si="0"/>
        <v>0</v>
      </c>
      <c r="I7" s="8">
        <f t="shared" si="0"/>
        <v>0</v>
      </c>
      <c r="J7" s="8">
        <f t="shared" si="0"/>
        <v>0</v>
      </c>
      <c r="K7" s="8">
        <f t="shared" si="0"/>
        <v>0</v>
      </c>
      <c r="L7" s="8">
        <f t="shared" si="0"/>
        <v>0</v>
      </c>
      <c r="M7" s="8">
        <f t="shared" si="0"/>
        <v>0</v>
      </c>
    </row>
    <row r="8" spans="1:13" ht="18" customHeight="1">
      <c r="A8" s="64"/>
      <c r="B8" s="34" t="s">
        <v>442</v>
      </c>
      <c r="C8" s="7"/>
      <c r="D8" s="7"/>
      <c r="E8" s="7"/>
      <c r="F8" s="7"/>
      <c r="G8" s="7"/>
      <c r="H8" s="7"/>
      <c r="I8" s="7"/>
      <c r="J8" s="7"/>
      <c r="K8" s="7"/>
      <c r="L8" s="7"/>
      <c r="M8" s="7"/>
    </row>
    <row r="9" spans="1:13" ht="18" customHeight="1">
      <c r="A9" s="64">
        <v>1</v>
      </c>
      <c r="B9" s="7" t="s">
        <v>443</v>
      </c>
      <c r="C9" s="172">
        <v>5.15</v>
      </c>
      <c r="D9" s="172">
        <v>4.74</v>
      </c>
      <c r="E9" s="172">
        <v>2.34</v>
      </c>
      <c r="F9" s="172">
        <v>6.19</v>
      </c>
      <c r="G9" s="172">
        <v>8.48</v>
      </c>
      <c r="H9" s="7"/>
      <c r="I9" s="7"/>
      <c r="J9" s="7"/>
      <c r="K9" s="7"/>
      <c r="L9" s="7"/>
      <c r="M9" s="7"/>
    </row>
    <row r="10" spans="1:13" ht="18" customHeight="1">
      <c r="A10" s="64">
        <v>2</v>
      </c>
      <c r="B10" s="7" t="s">
        <v>444</v>
      </c>
      <c r="C10" s="172">
        <v>44.53</v>
      </c>
      <c r="D10" s="172">
        <v>39.59</v>
      </c>
      <c r="E10" s="157">
        <v>38.66</v>
      </c>
      <c r="F10" s="172">
        <v>41.68</v>
      </c>
      <c r="G10" s="172">
        <v>36.17</v>
      </c>
      <c r="H10" s="7"/>
      <c r="I10" s="7"/>
      <c r="J10" s="7"/>
      <c r="K10" s="7"/>
      <c r="L10" s="7"/>
      <c r="M10" s="7"/>
    </row>
    <row r="11" spans="1:13" ht="18" customHeight="1">
      <c r="A11" s="64">
        <v>3</v>
      </c>
      <c r="B11" s="7" t="s">
        <v>445</v>
      </c>
      <c r="C11" s="157">
        <v>5.35</v>
      </c>
      <c r="D11" s="172">
        <v>3.21</v>
      </c>
      <c r="E11" s="172">
        <v>3.33</v>
      </c>
      <c r="F11" s="172"/>
      <c r="G11" s="157"/>
      <c r="H11" s="7"/>
      <c r="I11" s="7"/>
      <c r="J11" s="7"/>
      <c r="K11" s="7"/>
      <c r="L11" s="7"/>
      <c r="M11" s="7"/>
    </row>
    <row r="12" spans="1:13" ht="18" customHeight="1">
      <c r="A12" s="64">
        <v>4</v>
      </c>
      <c r="B12" s="7" t="s">
        <v>446</v>
      </c>
      <c r="C12" s="172">
        <v>0.67</v>
      </c>
      <c r="D12" s="172">
        <v>0.4</v>
      </c>
      <c r="E12" s="172">
        <v>0.52</v>
      </c>
      <c r="F12" s="157">
        <v>0.3</v>
      </c>
      <c r="G12" s="172">
        <v>1.46</v>
      </c>
      <c r="H12" s="7"/>
      <c r="I12" s="7"/>
      <c r="J12" s="7"/>
      <c r="K12" s="7"/>
      <c r="L12" s="7"/>
      <c r="M12" s="7"/>
    </row>
    <row r="13" spans="1:13" ht="18" customHeight="1">
      <c r="A13" s="64">
        <v>5</v>
      </c>
      <c r="B13" s="7" t="s">
        <v>447</v>
      </c>
      <c r="C13" s="172">
        <v>0.99</v>
      </c>
      <c r="D13" s="172">
        <v>0.7</v>
      </c>
      <c r="E13" s="172">
        <v>0.41</v>
      </c>
      <c r="F13" s="172">
        <v>0.14</v>
      </c>
      <c r="G13" s="172">
        <v>0.08</v>
      </c>
      <c r="H13" s="7"/>
      <c r="I13" s="7"/>
      <c r="J13" s="7"/>
      <c r="K13" s="7"/>
      <c r="L13" s="7"/>
      <c r="M13" s="7"/>
    </row>
    <row r="14" spans="1:13" ht="18" customHeight="1">
      <c r="A14" s="64">
        <v>6</v>
      </c>
      <c r="B14" s="7" t="s">
        <v>69</v>
      </c>
      <c r="C14" s="172">
        <v>-0.01</v>
      </c>
      <c r="D14" s="172"/>
      <c r="E14" s="172"/>
      <c r="F14" s="172"/>
      <c r="G14" s="172"/>
      <c r="H14" s="7"/>
      <c r="I14" s="7"/>
      <c r="J14" s="7"/>
      <c r="K14" s="7"/>
      <c r="L14" s="7"/>
      <c r="M14" s="7"/>
    </row>
    <row r="15" spans="1:13" ht="18" customHeight="1">
      <c r="A15" s="7"/>
      <c r="B15" s="87" t="s">
        <v>449</v>
      </c>
      <c r="C15" s="8">
        <f>+C9+C10+C11+C12+C13+C14</f>
        <v>56.68000000000001</v>
      </c>
      <c r="D15" s="8">
        <f aca="true" t="shared" si="1" ref="D15:M15">+D9+D10+D11+D12+D13+D14</f>
        <v>48.64000000000001</v>
      </c>
      <c r="E15" s="8">
        <f t="shared" si="1"/>
        <v>45.26</v>
      </c>
      <c r="F15" s="8">
        <f t="shared" si="1"/>
        <v>48.309999999999995</v>
      </c>
      <c r="G15" s="8">
        <f t="shared" si="1"/>
        <v>46.190000000000005</v>
      </c>
      <c r="H15" s="8">
        <f t="shared" si="1"/>
        <v>0</v>
      </c>
      <c r="I15" s="8">
        <f t="shared" si="1"/>
        <v>0</v>
      </c>
      <c r="J15" s="8">
        <f t="shared" si="1"/>
        <v>0</v>
      </c>
      <c r="K15" s="8">
        <f t="shared" si="1"/>
        <v>0</v>
      </c>
      <c r="L15" s="8">
        <f t="shared" si="1"/>
        <v>0</v>
      </c>
      <c r="M15" s="8">
        <f t="shared" si="1"/>
        <v>0</v>
      </c>
    </row>
    <row r="16" spans="1:13" ht="18" customHeight="1" thickBot="1">
      <c r="A16" s="132"/>
      <c r="B16" s="133" t="s">
        <v>450</v>
      </c>
      <c r="C16" s="134">
        <f aca="true" t="shared" si="2" ref="C16:M16">+C7-C15</f>
        <v>10.22999999999999</v>
      </c>
      <c r="D16" s="134">
        <f t="shared" si="2"/>
        <v>1.6199999999999903</v>
      </c>
      <c r="E16" s="134">
        <f t="shared" si="2"/>
        <v>-1.4100000000000037</v>
      </c>
      <c r="F16" s="134">
        <f t="shared" si="2"/>
        <v>0.3400000000000034</v>
      </c>
      <c r="G16" s="134">
        <f t="shared" si="2"/>
        <v>7.960000000000001</v>
      </c>
      <c r="H16" s="134">
        <f t="shared" si="2"/>
        <v>0</v>
      </c>
      <c r="I16" s="134">
        <f t="shared" si="2"/>
        <v>0</v>
      </c>
      <c r="J16" s="134">
        <f t="shared" si="2"/>
        <v>0</v>
      </c>
      <c r="K16" s="134">
        <f t="shared" si="2"/>
        <v>0</v>
      </c>
      <c r="L16" s="134">
        <f t="shared" si="2"/>
        <v>0</v>
      </c>
      <c r="M16" s="134">
        <f t="shared" si="2"/>
        <v>0</v>
      </c>
    </row>
    <row r="17" ht="13.5" thickTop="1">
      <c r="F17" s="15" t="s">
        <v>519</v>
      </c>
    </row>
  </sheetData>
  <sheetProtection/>
  <mergeCells count="1">
    <mergeCell ref="A1:M1"/>
  </mergeCells>
  <printOptions horizontalCentered="1"/>
  <pageMargins left="0.36" right="0.3"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R33"/>
  <sheetViews>
    <sheetView zoomScalePageLayoutView="0" workbookViewId="0" topLeftCell="A13">
      <selection activeCell="Q5" sqref="Q5"/>
    </sheetView>
  </sheetViews>
  <sheetFormatPr defaultColWidth="9.140625" defaultRowHeight="12.75"/>
  <cols>
    <col min="1" max="1" width="53.421875" style="0" customWidth="1"/>
    <col min="2" max="5" width="10.57421875" style="0" hidden="1" customWidth="1"/>
    <col min="6" max="6" width="10.57421875" style="0" bestFit="1" customWidth="1"/>
    <col min="7" max="7" width="10.8515625" style="0" bestFit="1" customWidth="1"/>
    <col min="8" max="8" width="10.57421875" style="0" bestFit="1" customWidth="1"/>
    <col min="9" max="9" width="11.28125" style="0" bestFit="1" customWidth="1"/>
    <col min="10" max="12" width="10.57421875" style="0" bestFit="1" customWidth="1"/>
  </cols>
  <sheetData>
    <row r="1" spans="1:12" ht="18">
      <c r="A1" s="419" t="s">
        <v>649</v>
      </c>
      <c r="B1" s="419"/>
      <c r="C1" s="419"/>
      <c r="D1" s="419"/>
      <c r="E1" s="419"/>
      <c r="F1" s="419"/>
      <c r="G1" s="419"/>
      <c r="H1" s="419"/>
      <c r="I1" s="419"/>
      <c r="J1" s="419"/>
      <c r="K1" s="419"/>
      <c r="L1" s="419"/>
    </row>
    <row r="2" spans="1:18" ht="23.25" customHeight="1">
      <c r="A2" s="420" t="s">
        <v>375</v>
      </c>
      <c r="B2" s="420"/>
      <c r="C2" s="420"/>
      <c r="D2" s="420"/>
      <c r="E2" s="420"/>
      <c r="F2" s="420"/>
      <c r="G2" s="420"/>
      <c r="H2" s="420"/>
      <c r="I2" s="420"/>
      <c r="J2" s="420"/>
      <c r="K2" s="420"/>
      <c r="L2" s="420"/>
      <c r="M2" s="3"/>
      <c r="N2" s="3"/>
      <c r="O2" s="3"/>
      <c r="P2" s="3"/>
      <c r="Q2" s="3"/>
      <c r="R2" s="3"/>
    </row>
    <row r="3" spans="1:18" s="68" customFormat="1" ht="32.25" customHeight="1">
      <c r="A3" s="252" t="s">
        <v>412</v>
      </c>
      <c r="B3" s="258" t="s">
        <v>413</v>
      </c>
      <c r="C3" s="252" t="s">
        <v>414</v>
      </c>
      <c r="D3" s="259" t="s">
        <v>415</v>
      </c>
      <c r="E3" s="259" t="s">
        <v>416</v>
      </c>
      <c r="F3" s="259" t="s">
        <v>417</v>
      </c>
      <c r="G3" s="259" t="s">
        <v>418</v>
      </c>
      <c r="H3" s="252" t="s">
        <v>481</v>
      </c>
      <c r="I3" s="252" t="s">
        <v>482</v>
      </c>
      <c r="J3" s="252" t="s">
        <v>483</v>
      </c>
      <c r="K3" s="252" t="s">
        <v>484</v>
      </c>
      <c r="L3" s="252" t="s">
        <v>485</v>
      </c>
      <c r="M3" s="121"/>
      <c r="N3" s="121"/>
      <c r="O3" s="121"/>
      <c r="P3" s="121"/>
      <c r="Q3" s="121"/>
      <c r="R3" s="121"/>
    </row>
    <row r="4" spans="1:18" s="68" customFormat="1" ht="19.5" customHeight="1">
      <c r="A4" s="67" t="s">
        <v>431</v>
      </c>
      <c r="B4" s="67"/>
      <c r="C4" s="67"/>
      <c r="D4" s="67"/>
      <c r="E4" s="67"/>
      <c r="F4" s="306"/>
      <c r="G4" s="300"/>
      <c r="H4" s="306"/>
      <c r="I4" s="306"/>
      <c r="J4" s="306"/>
      <c r="K4" s="306"/>
      <c r="L4" s="306"/>
      <c r="M4" s="121"/>
      <c r="N4" s="121"/>
      <c r="O4" s="121"/>
      <c r="P4" s="121"/>
      <c r="Q4" s="121"/>
      <c r="R4" s="245"/>
    </row>
    <row r="5" spans="1:18" s="68" customFormat="1" ht="19.5" customHeight="1">
      <c r="A5" s="67" t="s">
        <v>432</v>
      </c>
      <c r="B5" s="21"/>
      <c r="C5" s="67"/>
      <c r="D5" s="67"/>
      <c r="E5" s="67"/>
      <c r="F5" s="306"/>
      <c r="G5" s="300"/>
      <c r="H5" s="306"/>
      <c r="I5" s="306"/>
      <c r="J5" s="306"/>
      <c r="K5" s="306"/>
      <c r="L5" s="306"/>
      <c r="M5" s="121"/>
      <c r="N5" s="121"/>
      <c r="O5" s="121"/>
      <c r="P5" s="121"/>
      <c r="Q5" s="121"/>
      <c r="R5" s="245"/>
    </row>
    <row r="6" spans="1:18" s="68" customFormat="1" ht="19.5" customHeight="1">
      <c r="A6" s="67" t="s">
        <v>433</v>
      </c>
      <c r="B6" s="67"/>
      <c r="C6" s="67"/>
      <c r="D6" s="67"/>
      <c r="E6" s="67"/>
      <c r="F6" s="306"/>
      <c r="G6" s="300"/>
      <c r="H6" s="306"/>
      <c r="I6" s="306"/>
      <c r="J6" s="306"/>
      <c r="K6" s="306"/>
      <c r="L6" s="306"/>
      <c r="M6" s="121"/>
      <c r="N6" s="121"/>
      <c r="O6" s="121"/>
      <c r="P6" s="121"/>
      <c r="Q6" s="121"/>
      <c r="R6" s="245"/>
    </row>
    <row r="7" spans="1:18" s="68" customFormat="1" ht="19.5" customHeight="1">
      <c r="A7" s="127" t="s">
        <v>473</v>
      </c>
      <c r="B7" s="142" t="e">
        <f>+'1.3a((O&amp;M)'!#REF!</f>
        <v>#REF!</v>
      </c>
      <c r="C7" s="142" t="e">
        <f>+'1.3a((O&amp;M)'!#REF!</f>
        <v>#REF!</v>
      </c>
      <c r="D7" s="142" t="e">
        <f>+'1.3a((O&amp;M)'!#REF!</f>
        <v>#REF!</v>
      </c>
      <c r="E7" s="142" t="e">
        <f>+'1.3a((O&amp;M)'!#REF!</f>
        <v>#REF!</v>
      </c>
      <c r="F7" s="309">
        <v>542.53</v>
      </c>
      <c r="G7" s="301"/>
      <c r="H7" s="306"/>
      <c r="I7" s="306"/>
      <c r="J7" s="306"/>
      <c r="K7" s="306"/>
      <c r="L7" s="306"/>
      <c r="M7" s="121"/>
      <c r="N7" s="121"/>
      <c r="O7" s="121"/>
      <c r="P7" s="121"/>
      <c r="Q7" s="121"/>
      <c r="R7" s="246"/>
    </row>
    <row r="8" spans="1:12" s="68" customFormat="1" ht="19.5" customHeight="1">
      <c r="A8" s="67" t="s">
        <v>434</v>
      </c>
      <c r="B8" s="128">
        <v>0.3</v>
      </c>
      <c r="C8" s="128">
        <f aca="true" t="shared" si="0" ref="C8:F9">B8</f>
        <v>0.3</v>
      </c>
      <c r="D8" s="128">
        <f t="shared" si="0"/>
        <v>0.3</v>
      </c>
      <c r="E8" s="128">
        <f t="shared" si="0"/>
        <v>0.3</v>
      </c>
      <c r="F8" s="310">
        <f t="shared" si="0"/>
        <v>0.3</v>
      </c>
      <c r="G8" s="310"/>
      <c r="H8" s="310"/>
      <c r="I8" s="306"/>
      <c r="J8" s="306"/>
      <c r="K8" s="306"/>
      <c r="L8" s="306"/>
    </row>
    <row r="9" spans="1:12" s="68" customFormat="1" ht="19.5" customHeight="1">
      <c r="A9" s="67" t="s">
        <v>435</v>
      </c>
      <c r="B9" s="128">
        <f>1-B8</f>
        <v>0.7</v>
      </c>
      <c r="C9" s="128">
        <f t="shared" si="0"/>
        <v>0.7</v>
      </c>
      <c r="D9" s="128">
        <f t="shared" si="0"/>
        <v>0.7</v>
      </c>
      <c r="E9" s="128">
        <f t="shared" si="0"/>
        <v>0.7</v>
      </c>
      <c r="F9" s="310">
        <f t="shared" si="0"/>
        <v>0.7</v>
      </c>
      <c r="G9" s="310"/>
      <c r="H9" s="310"/>
      <c r="I9" s="306"/>
      <c r="J9" s="306"/>
      <c r="K9" s="306"/>
      <c r="L9" s="306"/>
    </row>
    <row r="10" spans="1:12" s="68" customFormat="1" ht="19.5" customHeight="1">
      <c r="A10" s="67" t="s">
        <v>436</v>
      </c>
      <c r="B10" s="21" t="e">
        <f>+B7*B8</f>
        <v>#REF!</v>
      </c>
      <c r="C10" s="21" t="e">
        <f>+C7*C8</f>
        <v>#REF!</v>
      </c>
      <c r="D10" s="21" t="e">
        <f>+D7*D8</f>
        <v>#REF!</v>
      </c>
      <c r="E10" s="21" t="e">
        <f>+E7*E8</f>
        <v>#REF!</v>
      </c>
      <c r="F10" s="288">
        <f>+F7*F8</f>
        <v>162.759</v>
      </c>
      <c r="G10" s="288"/>
      <c r="H10" s="306"/>
      <c r="I10" s="306"/>
      <c r="J10" s="306"/>
      <c r="K10" s="306"/>
      <c r="L10" s="306"/>
    </row>
    <row r="11" spans="1:12" s="68" customFormat="1" ht="19.5" customHeight="1">
      <c r="A11" s="131" t="s">
        <v>437</v>
      </c>
      <c r="B11" s="287" t="e">
        <f>+B7*B9</f>
        <v>#REF!</v>
      </c>
      <c r="C11" s="287" t="e">
        <f>+C7*C9</f>
        <v>#REF!</v>
      </c>
      <c r="D11" s="287" t="e">
        <f>+D7*D9</f>
        <v>#REF!</v>
      </c>
      <c r="E11" s="287" t="e">
        <f>+E7*E9</f>
        <v>#REF!</v>
      </c>
      <c r="F11" s="288">
        <f>+F7*F9</f>
        <v>379.77099999999996</v>
      </c>
      <c r="G11" s="288"/>
      <c r="H11" s="306"/>
      <c r="I11" s="306"/>
      <c r="J11" s="306"/>
      <c r="K11" s="306"/>
      <c r="L11" s="306"/>
    </row>
    <row r="12" spans="1:12" s="68" customFormat="1" ht="19.5" customHeight="1">
      <c r="A12" s="131" t="s">
        <v>419</v>
      </c>
      <c r="B12" s="155">
        <v>18905</v>
      </c>
      <c r="C12" s="154">
        <v>19409.9</v>
      </c>
      <c r="D12" s="154">
        <v>20374.05</v>
      </c>
      <c r="E12" s="154">
        <v>21990.34</v>
      </c>
      <c r="F12" s="305">
        <v>24295.15</v>
      </c>
      <c r="G12" s="305"/>
      <c r="H12" s="306"/>
      <c r="I12" s="306"/>
      <c r="J12" s="306"/>
      <c r="K12" s="306"/>
      <c r="L12" s="306"/>
    </row>
    <row r="13" spans="1:12" s="68" customFormat="1" ht="19.5" customHeight="1">
      <c r="A13" s="131" t="s">
        <v>438</v>
      </c>
      <c r="B13" s="155">
        <v>3338</v>
      </c>
      <c r="C13" s="155">
        <v>3416</v>
      </c>
      <c r="D13" s="155">
        <v>3588</v>
      </c>
      <c r="E13" s="155">
        <v>3923</v>
      </c>
      <c r="F13" s="306">
        <v>4169</v>
      </c>
      <c r="G13" s="305"/>
      <c r="H13" s="306"/>
      <c r="I13" s="306"/>
      <c r="J13" s="306"/>
      <c r="K13" s="306"/>
      <c r="L13" s="306"/>
    </row>
    <row r="14" spans="1:12" s="68" customFormat="1" ht="19.5" customHeight="1">
      <c r="A14" s="131" t="s">
        <v>420</v>
      </c>
      <c r="B14" s="317" t="e">
        <f aca="true" t="shared" si="1" ref="B14:F15">+(B10/B12)*10000000</f>
        <v>#REF!</v>
      </c>
      <c r="C14" s="317" t="e">
        <f t="shared" si="1"/>
        <v>#REF!</v>
      </c>
      <c r="D14" s="317" t="e">
        <f t="shared" si="1"/>
        <v>#REF!</v>
      </c>
      <c r="E14" s="317" t="e">
        <f t="shared" si="1"/>
        <v>#REF!</v>
      </c>
      <c r="F14" s="305">
        <f t="shared" si="1"/>
        <v>66992.3832534477</v>
      </c>
      <c r="G14" s="305"/>
      <c r="H14" s="306"/>
      <c r="I14" s="306"/>
      <c r="J14" s="306"/>
      <c r="K14" s="306"/>
      <c r="L14" s="306"/>
    </row>
    <row r="15" spans="1:12" s="68" customFormat="1" ht="19.5" customHeight="1">
      <c r="A15" s="131" t="s">
        <v>421</v>
      </c>
      <c r="B15" s="317" t="e">
        <f t="shared" si="1"/>
        <v>#REF!</v>
      </c>
      <c r="C15" s="317" t="e">
        <f t="shared" si="1"/>
        <v>#REF!</v>
      </c>
      <c r="D15" s="317" t="e">
        <f t="shared" si="1"/>
        <v>#REF!</v>
      </c>
      <c r="E15" s="317" t="e">
        <f t="shared" si="1"/>
        <v>#REF!</v>
      </c>
      <c r="F15" s="305">
        <f t="shared" si="1"/>
        <v>910940.2734468697</v>
      </c>
      <c r="G15" s="305"/>
      <c r="H15" s="306"/>
      <c r="I15" s="306"/>
      <c r="J15" s="306"/>
      <c r="K15" s="306"/>
      <c r="L15" s="306"/>
    </row>
    <row r="16" spans="1:12" s="68" customFormat="1" ht="19.5" customHeight="1">
      <c r="A16" s="130" t="s">
        <v>422</v>
      </c>
      <c r="B16" s="130"/>
      <c r="C16" s="130"/>
      <c r="D16" s="130"/>
      <c r="E16" s="130"/>
      <c r="F16" s="302"/>
      <c r="G16" s="288"/>
      <c r="H16" s="306"/>
      <c r="I16" s="306"/>
      <c r="J16" s="306"/>
      <c r="K16" s="306"/>
      <c r="L16" s="306"/>
    </row>
    <row r="17" spans="1:12" s="68" customFormat="1" ht="19.5" customHeight="1">
      <c r="A17" s="131" t="s">
        <v>439</v>
      </c>
      <c r="B17" s="131"/>
      <c r="C17" s="131"/>
      <c r="D17" s="131"/>
      <c r="E17" s="131"/>
      <c r="F17" s="310">
        <v>0.6</v>
      </c>
      <c r="G17" s="310"/>
      <c r="H17" s="306"/>
      <c r="I17" s="306"/>
      <c r="J17" s="306"/>
      <c r="K17" s="306"/>
      <c r="L17" s="306"/>
    </row>
    <row r="18" spans="1:12" s="68" customFormat="1" ht="19.5" customHeight="1">
      <c r="A18" s="131" t="s">
        <v>424</v>
      </c>
      <c r="B18" s="131"/>
      <c r="C18" s="131"/>
      <c r="D18" s="131"/>
      <c r="E18" s="131"/>
      <c r="F18" s="310">
        <v>0.4</v>
      </c>
      <c r="G18" s="310"/>
      <c r="H18" s="306"/>
      <c r="I18" s="306"/>
      <c r="J18" s="306"/>
      <c r="K18" s="306"/>
      <c r="L18" s="306"/>
    </row>
    <row r="19" spans="1:12" s="68" customFormat="1" ht="19.5" customHeight="1">
      <c r="A19" s="131" t="s">
        <v>423</v>
      </c>
      <c r="B19" s="131"/>
      <c r="C19" s="131"/>
      <c r="D19" s="131"/>
      <c r="E19" s="131"/>
      <c r="F19" s="311">
        <v>0.09966666666666667</v>
      </c>
      <c r="G19" s="303"/>
      <c r="H19" s="306"/>
      <c r="I19" s="306"/>
      <c r="J19" s="306"/>
      <c r="K19" s="306"/>
      <c r="L19" s="306"/>
    </row>
    <row r="20" spans="1:12" s="68" customFormat="1" ht="19.5" customHeight="1">
      <c r="A20" s="131" t="s">
        <v>425</v>
      </c>
      <c r="B20" s="131"/>
      <c r="C20" s="131"/>
      <c r="D20" s="131"/>
      <c r="E20" s="131"/>
      <c r="F20" s="311">
        <v>0.08186666666666666</v>
      </c>
      <c r="G20" s="303"/>
      <c r="H20" s="306"/>
      <c r="I20" s="306"/>
      <c r="J20" s="306"/>
      <c r="K20" s="306"/>
      <c r="L20" s="306"/>
    </row>
    <row r="21" spans="1:13" s="68" customFormat="1" ht="19.5" customHeight="1">
      <c r="A21" s="131" t="s">
        <v>426</v>
      </c>
      <c r="B21" s="131"/>
      <c r="C21" s="131"/>
      <c r="D21" s="131"/>
      <c r="E21" s="131"/>
      <c r="F21" s="311">
        <v>0.0516</v>
      </c>
      <c r="G21" s="311">
        <f aca="true" t="shared" si="2" ref="G21:L21">+F21</f>
        <v>0.0516</v>
      </c>
      <c r="H21" s="311">
        <f t="shared" si="2"/>
        <v>0.0516</v>
      </c>
      <c r="I21" s="311">
        <f t="shared" si="2"/>
        <v>0.0516</v>
      </c>
      <c r="J21" s="311">
        <f t="shared" si="2"/>
        <v>0.0516</v>
      </c>
      <c r="K21" s="311">
        <f t="shared" si="2"/>
        <v>0.0516</v>
      </c>
      <c r="L21" s="311">
        <f t="shared" si="2"/>
        <v>0.0516</v>
      </c>
      <c r="M21" s="161"/>
    </row>
    <row r="22" spans="1:12" s="68" customFormat="1" ht="19.5" customHeight="1">
      <c r="A22" s="131" t="s">
        <v>427</v>
      </c>
      <c r="B22" s="131"/>
      <c r="C22" s="131"/>
      <c r="D22" s="131"/>
      <c r="E22" s="131"/>
      <c r="F22" s="306"/>
      <c r="G22" s="305">
        <f>+F14*(1+$F21)</f>
        <v>70449.1902293256</v>
      </c>
      <c r="H22" s="305">
        <f>+G22*(1+H21)</f>
        <v>74084.3684451588</v>
      </c>
      <c r="I22" s="305">
        <f>+H22*(1+I21)</f>
        <v>77907.121856929</v>
      </c>
      <c r="J22" s="305">
        <f>+I22*(1+J21)</f>
        <v>81927.12934474656</v>
      </c>
      <c r="K22" s="305">
        <f>+J22*(1+K21)</f>
        <v>86154.56921893549</v>
      </c>
      <c r="L22" s="305">
        <f>+K22*(1+L21)</f>
        <v>90600.14499063257</v>
      </c>
    </row>
    <row r="23" spans="1:12" s="68" customFormat="1" ht="19.5" customHeight="1">
      <c r="A23" s="131" t="s">
        <v>428</v>
      </c>
      <c r="B23" s="131"/>
      <c r="C23" s="131"/>
      <c r="D23" s="131"/>
      <c r="E23" s="131"/>
      <c r="F23" s="306"/>
      <c r="G23" s="305">
        <f>+F15*(1+$F21)</f>
        <v>957944.7915567282</v>
      </c>
      <c r="H23" s="305">
        <f>+G23*(1+H21)</f>
        <v>1007374.7428010554</v>
      </c>
      <c r="I23" s="305">
        <f>+H23*(1+I21)</f>
        <v>1059355.27952959</v>
      </c>
      <c r="J23" s="305">
        <f>+I23*(1+J21)</f>
        <v>1114018.0119533169</v>
      </c>
      <c r="K23" s="305">
        <f>+J23*(1+K21)</f>
        <v>1171501.341370108</v>
      </c>
      <c r="L23" s="305">
        <f>+K23*(1+L21)</f>
        <v>1231950.8105848057</v>
      </c>
    </row>
    <row r="24" spans="1:12" s="68" customFormat="1" ht="19.5" customHeight="1">
      <c r="A24" s="137" t="s">
        <v>419</v>
      </c>
      <c r="B24" s="137"/>
      <c r="C24" s="137"/>
      <c r="D24" s="137"/>
      <c r="E24" s="137"/>
      <c r="F24" s="304"/>
      <c r="G24" s="306">
        <v>26582</v>
      </c>
      <c r="H24" s="305">
        <v>27628</v>
      </c>
      <c r="I24" s="305">
        <v>28568</v>
      </c>
      <c r="J24" s="305">
        <v>29806</v>
      </c>
      <c r="K24" s="305">
        <v>30927</v>
      </c>
      <c r="L24" s="305">
        <v>31793</v>
      </c>
    </row>
    <row r="25" spans="1:12" s="68" customFormat="1" ht="19.5" customHeight="1">
      <c r="A25" s="137" t="s">
        <v>438</v>
      </c>
      <c r="B25" s="137"/>
      <c r="C25" s="137"/>
      <c r="D25" s="137"/>
      <c r="E25" s="137"/>
      <c r="F25" s="304"/>
      <c r="G25" s="306">
        <v>4458</v>
      </c>
      <c r="H25" s="306">
        <v>4978</v>
      </c>
      <c r="I25" s="306">
        <v>5544</v>
      </c>
      <c r="J25" s="306">
        <v>6057</v>
      </c>
      <c r="K25" s="306">
        <v>6591</v>
      </c>
      <c r="L25" s="306">
        <v>7086</v>
      </c>
    </row>
    <row r="26" spans="1:12" s="68" customFormat="1" ht="24.75" customHeight="1" thickBot="1">
      <c r="A26" s="123" t="s">
        <v>429</v>
      </c>
      <c r="B26" s="123"/>
      <c r="C26" s="123"/>
      <c r="D26" s="123"/>
      <c r="E26" s="123"/>
      <c r="F26" s="307"/>
      <c r="G26" s="308">
        <f aca="true" t="shared" si="3" ref="G26:L26">+((G22*G24)+(G23*G25))/10000000</f>
        <v>614.3198255435827</v>
      </c>
      <c r="H26" s="308">
        <f t="shared" si="3"/>
        <v>706.1514401066502</v>
      </c>
      <c r="I26" s="308">
        <f t="shared" si="3"/>
        <v>809.8716326920794</v>
      </c>
      <c r="J26" s="308">
        <f t="shared" si="3"/>
        <v>918.9527115650757</v>
      </c>
      <c r="K26" s="308">
        <f t="shared" si="3"/>
        <v>1038.58677032044</v>
      </c>
      <c r="L26" s="308">
        <f t="shared" si="3"/>
        <v>1161.0053853491113</v>
      </c>
    </row>
    <row r="27" ht="13.5" thickTop="1"/>
    <row r="28" spans="6:12" ht="12.75">
      <c r="F28" s="20"/>
      <c r="G28" s="20"/>
      <c r="H28" s="20"/>
      <c r="I28" s="20"/>
      <c r="J28" s="20"/>
      <c r="K28" s="20"/>
      <c r="L28" s="20"/>
    </row>
    <row r="29" spans="1:13" ht="12.75">
      <c r="A29" s="15"/>
      <c r="F29" s="20"/>
      <c r="G29" s="20"/>
      <c r="H29" s="20"/>
      <c r="I29" s="20"/>
      <c r="J29" s="20"/>
      <c r="K29" s="20"/>
      <c r="L29" s="20"/>
      <c r="M29" s="20"/>
    </row>
    <row r="30" spans="8:13" ht="12.75">
      <c r="H30" s="20"/>
      <c r="M30" s="20"/>
    </row>
    <row r="31" spans="7:12" ht="12.75">
      <c r="G31" s="20"/>
      <c r="H31" s="20"/>
      <c r="I31" s="20"/>
      <c r="J31" s="20"/>
      <c r="K31" s="20"/>
      <c r="L31" s="20"/>
    </row>
    <row r="33" spans="7:12" ht="12.75">
      <c r="G33" s="20"/>
      <c r="H33" s="20"/>
      <c r="I33" s="20"/>
      <c r="J33" s="20"/>
      <c r="K33" s="20"/>
      <c r="L33" s="20"/>
    </row>
  </sheetData>
  <sheetProtection/>
  <protectedRanges>
    <protectedRange sqref="F7" name="Range1"/>
  </protectedRanges>
  <mergeCells count="2">
    <mergeCell ref="A1:L1"/>
    <mergeCell ref="A2:L2"/>
  </mergeCells>
  <dataValidations count="1">
    <dataValidation type="decimal" allowBlank="1" showInputMessage="1" sqref="F7">
      <formula1>-1000000000000000</formula1>
      <formula2>1000000000000000</formula2>
    </dataValidation>
  </dataValidations>
  <printOptions horizontalCentered="1"/>
  <pageMargins left="0.3" right="0.46" top="0.62" bottom="0.73" header="0.31" footer="0.5"/>
  <pageSetup horizontalDpi="600" verticalDpi="600" orientation="landscape" paperSize="5" scale="97" r:id="rId1"/>
</worksheet>
</file>

<file path=xl/worksheets/sheet23.xml><?xml version="1.0" encoding="utf-8"?>
<worksheet xmlns="http://schemas.openxmlformats.org/spreadsheetml/2006/main" xmlns:r="http://schemas.openxmlformats.org/officeDocument/2006/relationships">
  <dimension ref="A1:E58"/>
  <sheetViews>
    <sheetView zoomScalePageLayoutView="0" workbookViewId="0" topLeftCell="A25">
      <selection activeCell="D14" sqref="D14"/>
    </sheetView>
  </sheetViews>
  <sheetFormatPr defaultColWidth="9.140625" defaultRowHeight="12.75"/>
  <cols>
    <col min="1" max="1" width="9.57421875" style="0" customWidth="1"/>
    <col min="2" max="2" width="29.8515625" style="0" customWidth="1"/>
    <col min="3" max="3" width="6.7109375" style="0" bestFit="1" customWidth="1"/>
    <col min="4" max="4" width="9.57421875" style="16" customWidth="1"/>
  </cols>
  <sheetData>
    <row r="1" ht="12.75">
      <c r="D1" s="80"/>
    </row>
    <row r="2" ht="12.75">
      <c r="D2" s="80"/>
    </row>
    <row r="3" spans="1:5" ht="12.75">
      <c r="A3" s="14"/>
      <c r="B3" s="14" t="s">
        <v>155</v>
      </c>
      <c r="C3" s="14"/>
      <c r="D3" s="81"/>
      <c r="E3" s="14"/>
    </row>
    <row r="4" spans="1:5" ht="12.75">
      <c r="A4" s="14"/>
      <c r="B4" s="15" t="s">
        <v>156</v>
      </c>
      <c r="C4" s="14"/>
      <c r="D4" s="81"/>
      <c r="E4" s="14"/>
    </row>
    <row r="5" spans="1:5" ht="12.75">
      <c r="A5" s="14"/>
      <c r="B5" s="28"/>
      <c r="C5" s="14"/>
      <c r="D5" s="81"/>
      <c r="E5" s="14"/>
    </row>
    <row r="7" spans="1:4" ht="12.75">
      <c r="A7" s="78" t="s">
        <v>645</v>
      </c>
      <c r="D7" s="80"/>
    </row>
    <row r="8" spans="1:5" ht="12.75">
      <c r="A8" s="74" t="s">
        <v>157</v>
      </c>
      <c r="B8" s="74" t="s">
        <v>0</v>
      </c>
      <c r="C8" s="75" t="s">
        <v>158</v>
      </c>
      <c r="D8" s="82" t="s">
        <v>204</v>
      </c>
      <c r="E8" s="75" t="s">
        <v>107</v>
      </c>
    </row>
    <row r="9" spans="1:5" ht="12.75">
      <c r="A9" s="79">
        <v>10001</v>
      </c>
      <c r="B9" s="72" t="s">
        <v>159</v>
      </c>
      <c r="C9" s="70"/>
      <c r="D9" s="309">
        <f>+'O&amp;M'!G26</f>
        <v>614.3198255435827</v>
      </c>
      <c r="E9" s="71"/>
    </row>
    <row r="10" spans="1:5" ht="12.75">
      <c r="A10" s="79">
        <v>10014</v>
      </c>
      <c r="B10" s="73" t="s">
        <v>160</v>
      </c>
      <c r="C10" s="70"/>
      <c r="D10" s="312">
        <f>+'O&amp;M'!G24</f>
        <v>26582</v>
      </c>
      <c r="E10" s="71"/>
    </row>
    <row r="11" spans="1:5" ht="12.75">
      <c r="A11" s="79">
        <v>10011</v>
      </c>
      <c r="B11" s="73" t="s">
        <v>205</v>
      </c>
      <c r="C11" s="70"/>
      <c r="D11" s="312">
        <f>+'O&amp;M'!G25</f>
        <v>4458</v>
      </c>
      <c r="E11" s="71"/>
    </row>
    <row r="12" spans="1:5" ht="12.75">
      <c r="A12" s="79">
        <v>10025</v>
      </c>
      <c r="B12" s="76" t="s">
        <v>206</v>
      </c>
      <c r="C12" s="70"/>
      <c r="D12" s="312">
        <f>'O&amp;M'!G22</f>
        <v>70449.1902293256</v>
      </c>
      <c r="E12" s="71"/>
    </row>
    <row r="13" spans="1:5" ht="12.75">
      <c r="A13" s="79">
        <v>10026</v>
      </c>
      <c r="B13" s="76" t="s">
        <v>207</v>
      </c>
      <c r="C13" s="70"/>
      <c r="D13" s="312">
        <f>'O&amp;M'!G23</f>
        <v>957944.7915567282</v>
      </c>
      <c r="E13" s="71"/>
    </row>
    <row r="16" spans="1:4" ht="12.75">
      <c r="A16" s="78" t="s">
        <v>476</v>
      </c>
      <c r="D16" s="80"/>
    </row>
    <row r="17" spans="1:5" ht="12.75">
      <c r="A17" s="74" t="s">
        <v>157</v>
      </c>
      <c r="B17" s="74" t="s">
        <v>0</v>
      </c>
      <c r="C17" s="75" t="s">
        <v>158</v>
      </c>
      <c r="D17" s="82" t="s">
        <v>204</v>
      </c>
      <c r="E17" s="75" t="s">
        <v>107</v>
      </c>
    </row>
    <row r="18" spans="1:5" ht="12.75">
      <c r="A18" s="79">
        <v>10001</v>
      </c>
      <c r="B18" s="72" t="s">
        <v>159</v>
      </c>
      <c r="C18" s="70"/>
      <c r="D18" s="309">
        <f>+'O&amp;M'!H26</f>
        <v>706.1514401066502</v>
      </c>
      <c r="E18" s="71"/>
    </row>
    <row r="19" spans="1:5" ht="12.75">
      <c r="A19" s="79">
        <v>10014</v>
      </c>
      <c r="B19" s="73" t="s">
        <v>160</v>
      </c>
      <c r="C19" s="70"/>
      <c r="D19" s="312">
        <f>+'O&amp;M'!H24</f>
        <v>27628</v>
      </c>
      <c r="E19" s="71"/>
    </row>
    <row r="20" spans="1:5" ht="12.75">
      <c r="A20" s="79">
        <v>10011</v>
      </c>
      <c r="B20" s="73" t="s">
        <v>205</v>
      </c>
      <c r="C20" s="70"/>
      <c r="D20" s="312">
        <f>+'O&amp;M'!H25</f>
        <v>4978</v>
      </c>
      <c r="E20" s="71"/>
    </row>
    <row r="21" spans="1:5" ht="12.75">
      <c r="A21" s="79">
        <v>10025</v>
      </c>
      <c r="B21" s="76" t="s">
        <v>206</v>
      </c>
      <c r="C21" s="70"/>
      <c r="D21" s="312">
        <f>'O&amp;M'!H22</f>
        <v>74084.3684451588</v>
      </c>
      <c r="E21" s="71"/>
    </row>
    <row r="22" spans="1:5" ht="12.75">
      <c r="A22" s="79">
        <v>10026</v>
      </c>
      <c r="B22" s="76" t="s">
        <v>207</v>
      </c>
      <c r="C22" s="70"/>
      <c r="D22" s="312">
        <f>'O&amp;M'!H23</f>
        <v>1007374.7428010554</v>
      </c>
      <c r="E22" s="71"/>
    </row>
    <row r="25" spans="1:4" ht="12.75">
      <c r="A25" s="78" t="s">
        <v>477</v>
      </c>
      <c r="D25" s="80"/>
    </row>
    <row r="26" spans="1:5" ht="12.75">
      <c r="A26" s="74" t="s">
        <v>157</v>
      </c>
      <c r="B26" s="74" t="s">
        <v>0</v>
      </c>
      <c r="C26" s="75" t="s">
        <v>158</v>
      </c>
      <c r="D26" s="82" t="s">
        <v>204</v>
      </c>
      <c r="E26" s="75" t="s">
        <v>107</v>
      </c>
    </row>
    <row r="27" spans="1:5" ht="12.75">
      <c r="A27" s="79">
        <v>10001</v>
      </c>
      <c r="B27" s="72" t="s">
        <v>159</v>
      </c>
      <c r="C27" s="70"/>
      <c r="D27" s="309">
        <f>+'O&amp;M'!I26</f>
        <v>809.8716326920794</v>
      </c>
      <c r="E27" s="71"/>
    </row>
    <row r="28" spans="1:5" ht="12.75">
      <c r="A28" s="79">
        <v>10014</v>
      </c>
      <c r="B28" s="73" t="s">
        <v>160</v>
      </c>
      <c r="C28" s="70"/>
      <c r="D28" s="312">
        <f>+'O&amp;M'!I24</f>
        <v>28568</v>
      </c>
      <c r="E28" s="71"/>
    </row>
    <row r="29" spans="1:5" ht="12.75">
      <c r="A29" s="79">
        <v>10011</v>
      </c>
      <c r="B29" s="73" t="s">
        <v>205</v>
      </c>
      <c r="C29" s="70"/>
      <c r="D29" s="312">
        <f>+'O&amp;M'!I25</f>
        <v>5544</v>
      </c>
      <c r="E29" s="71"/>
    </row>
    <row r="30" spans="1:5" ht="12.75">
      <c r="A30" s="79">
        <v>10025</v>
      </c>
      <c r="B30" s="76" t="s">
        <v>206</v>
      </c>
      <c r="C30" s="70"/>
      <c r="D30" s="312">
        <f>+'O&amp;M'!I22</f>
        <v>77907.121856929</v>
      </c>
      <c r="E30" s="71"/>
    </row>
    <row r="31" spans="1:5" ht="12.75">
      <c r="A31" s="79">
        <v>10026</v>
      </c>
      <c r="B31" s="76" t="s">
        <v>207</v>
      </c>
      <c r="C31" s="70"/>
      <c r="D31" s="312">
        <f>+'O&amp;M'!I23</f>
        <v>1059355.27952959</v>
      </c>
      <c r="E31" s="71"/>
    </row>
    <row r="34" spans="1:4" ht="12.75">
      <c r="A34" s="78" t="s">
        <v>478</v>
      </c>
      <c r="D34" s="80"/>
    </row>
    <row r="35" spans="1:5" ht="12.75">
      <c r="A35" s="74" t="s">
        <v>157</v>
      </c>
      <c r="B35" s="74" t="s">
        <v>0</v>
      </c>
      <c r="C35" s="75" t="s">
        <v>158</v>
      </c>
      <c r="D35" s="82" t="s">
        <v>204</v>
      </c>
      <c r="E35" s="75" t="s">
        <v>107</v>
      </c>
    </row>
    <row r="36" spans="1:5" ht="12.75">
      <c r="A36" s="79">
        <v>10001</v>
      </c>
      <c r="B36" s="72" t="s">
        <v>159</v>
      </c>
      <c r="C36" s="70"/>
      <c r="D36" s="309">
        <f>+'O&amp;M'!J26</f>
        <v>918.9527115650757</v>
      </c>
      <c r="E36" s="71"/>
    </row>
    <row r="37" spans="1:5" ht="12.75">
      <c r="A37" s="79">
        <v>10014</v>
      </c>
      <c r="B37" s="73" t="s">
        <v>160</v>
      </c>
      <c r="C37" s="70"/>
      <c r="D37" s="312">
        <f>+'O&amp;M'!J24</f>
        <v>29806</v>
      </c>
      <c r="E37" s="71"/>
    </row>
    <row r="38" spans="1:5" ht="12.75">
      <c r="A38" s="79">
        <v>10011</v>
      </c>
      <c r="B38" s="73" t="s">
        <v>205</v>
      </c>
      <c r="C38" s="70"/>
      <c r="D38" s="312">
        <f>+'O&amp;M'!J25</f>
        <v>6057</v>
      </c>
      <c r="E38" s="71"/>
    </row>
    <row r="39" spans="1:5" ht="12.75">
      <c r="A39" s="79">
        <v>10025</v>
      </c>
      <c r="B39" s="76" t="s">
        <v>206</v>
      </c>
      <c r="C39" s="70"/>
      <c r="D39" s="312">
        <f>+'O&amp;M'!J22</f>
        <v>81927.12934474656</v>
      </c>
      <c r="E39" s="71"/>
    </row>
    <row r="40" spans="1:5" ht="12.75">
      <c r="A40" s="79">
        <v>10026</v>
      </c>
      <c r="B40" s="76" t="s">
        <v>207</v>
      </c>
      <c r="C40" s="70"/>
      <c r="D40" s="312">
        <f>+'O&amp;M'!J23</f>
        <v>1114018.0119533169</v>
      </c>
      <c r="E40" s="71"/>
    </row>
    <row r="43" spans="1:4" ht="12.75">
      <c r="A43" s="78" t="s">
        <v>479</v>
      </c>
      <c r="D43" s="80"/>
    </row>
    <row r="44" spans="1:5" ht="12.75">
      <c r="A44" s="74" t="s">
        <v>157</v>
      </c>
      <c r="B44" s="74" t="s">
        <v>0</v>
      </c>
      <c r="C44" s="75" t="s">
        <v>158</v>
      </c>
      <c r="D44" s="82" t="s">
        <v>204</v>
      </c>
      <c r="E44" s="75" t="s">
        <v>107</v>
      </c>
    </row>
    <row r="45" spans="1:5" ht="12.75">
      <c r="A45" s="79">
        <v>10001</v>
      </c>
      <c r="B45" s="72" t="s">
        <v>159</v>
      </c>
      <c r="C45" s="70"/>
      <c r="D45" s="309">
        <f>+'O&amp;M'!K26</f>
        <v>1038.58677032044</v>
      </c>
      <c r="E45" s="71"/>
    </row>
    <row r="46" spans="1:5" ht="12.75">
      <c r="A46" s="79">
        <v>10014</v>
      </c>
      <c r="B46" s="73" t="s">
        <v>160</v>
      </c>
      <c r="C46" s="70"/>
      <c r="D46" s="312">
        <f>+'O&amp;M'!K24</f>
        <v>30927</v>
      </c>
      <c r="E46" s="71"/>
    </row>
    <row r="47" spans="1:5" ht="12.75">
      <c r="A47" s="79">
        <v>10011</v>
      </c>
      <c r="B47" s="73" t="s">
        <v>205</v>
      </c>
      <c r="C47" s="70"/>
      <c r="D47" s="312">
        <f>+'O&amp;M'!K25</f>
        <v>6591</v>
      </c>
      <c r="E47" s="71"/>
    </row>
    <row r="48" spans="1:5" ht="12.75">
      <c r="A48" s="79">
        <v>10025</v>
      </c>
      <c r="B48" s="76" t="s">
        <v>206</v>
      </c>
      <c r="C48" s="70"/>
      <c r="D48" s="312">
        <f>+'O&amp;M'!K22</f>
        <v>86154.56921893549</v>
      </c>
      <c r="E48" s="71"/>
    </row>
    <row r="49" spans="1:5" ht="12.75">
      <c r="A49" s="79">
        <v>10026</v>
      </c>
      <c r="B49" s="76" t="s">
        <v>207</v>
      </c>
      <c r="C49" s="70"/>
      <c r="D49" s="312">
        <f>+'O&amp;M'!K23</f>
        <v>1171501.341370108</v>
      </c>
      <c r="E49" s="71"/>
    </row>
    <row r="52" spans="1:4" ht="12.75">
      <c r="A52" s="78" t="s">
        <v>480</v>
      </c>
      <c r="D52" s="80"/>
    </row>
    <row r="53" spans="1:5" ht="12.75">
      <c r="A53" s="74" t="s">
        <v>157</v>
      </c>
      <c r="B53" s="74" t="s">
        <v>0</v>
      </c>
      <c r="C53" s="75" t="s">
        <v>158</v>
      </c>
      <c r="D53" s="82" t="s">
        <v>204</v>
      </c>
      <c r="E53" s="75" t="s">
        <v>107</v>
      </c>
    </row>
    <row r="54" spans="1:5" ht="12.75">
      <c r="A54" s="79">
        <v>10001</v>
      </c>
      <c r="B54" s="72" t="s">
        <v>159</v>
      </c>
      <c r="C54" s="70"/>
      <c r="D54" s="309">
        <f>+'O&amp;M'!L26</f>
        <v>1161.0053853491113</v>
      </c>
      <c r="E54" s="71"/>
    </row>
    <row r="55" spans="1:5" ht="12.75">
      <c r="A55" s="79">
        <v>10014</v>
      </c>
      <c r="B55" s="73" t="s">
        <v>160</v>
      </c>
      <c r="C55" s="70"/>
      <c r="D55" s="312">
        <f>+'O&amp;M'!L24</f>
        <v>31793</v>
      </c>
      <c r="E55" s="71"/>
    </row>
    <row r="56" spans="1:5" ht="12.75">
      <c r="A56" s="79">
        <v>10011</v>
      </c>
      <c r="B56" s="73" t="s">
        <v>205</v>
      </c>
      <c r="C56" s="70"/>
      <c r="D56" s="312">
        <f>+'O&amp;M'!L25</f>
        <v>7086</v>
      </c>
      <c r="E56" s="71"/>
    </row>
    <row r="57" spans="1:5" ht="12.75">
      <c r="A57" s="79">
        <v>10025</v>
      </c>
      <c r="B57" s="76" t="s">
        <v>206</v>
      </c>
      <c r="C57" s="70"/>
      <c r="D57" s="312">
        <f>+'O&amp;M'!L22</f>
        <v>90600.14499063257</v>
      </c>
      <c r="E57" s="71"/>
    </row>
    <row r="58" spans="1:5" ht="12.75">
      <c r="A58" s="79">
        <v>10026</v>
      </c>
      <c r="B58" s="76" t="s">
        <v>207</v>
      </c>
      <c r="C58" s="70"/>
      <c r="D58" s="312">
        <f>+'O&amp;M'!L23</f>
        <v>1231950.8105848057</v>
      </c>
      <c r="E58" s="71"/>
    </row>
  </sheetData>
  <sheetProtection/>
  <protectedRanges>
    <protectedRange sqref="D45:E49 D54:E58 D9:D11 E9:E13 D18:D20 E18:E22 D27:E31 D36:E40" name="Range1"/>
  </protectedRanges>
  <dataValidations count="2">
    <dataValidation type="decimal" allowBlank="1" showInputMessage="1" sqref="D9:D11 D18:D20 D27:D31 D36:D40 D45:D49 D54:D58">
      <formula1>-1000000000000000</formula1>
      <formula2>1000000000000000</formula2>
    </dataValidation>
    <dataValidation allowBlank="1" showInputMessage="1" sqref="E1:E5 C1:D5 A1:A5 B1:B4 B54:C58 E7:E13 B7:D8 A7:A13 B9:C13 D12:D13 E16:E22 B16:D17 A16:A22 B18:C22 D21:D22 E25:E31 B25:D26 A25:A31 B27:C31 E52:E58 E34:E40 B34:D35 A34:A40 B36:C40 A52:A58 E43:E49 B43:D44 A43:A49 B45:C49 B52:D53"/>
  </dataValidations>
  <printOptions/>
  <pageMargins left="0.75" right="0.75" top="0.56" bottom="0.49" header="0.23" footer="0.2"/>
  <pageSetup horizontalDpi="600" verticalDpi="600" orientation="portrait" scale="98" r:id="rId1"/>
  <rowBreaks count="1" manualBreakCount="1">
    <brk id="14" max="4" man="1"/>
  </rowBreaks>
</worksheet>
</file>

<file path=xl/worksheets/sheet24.xml><?xml version="1.0" encoding="utf-8"?>
<worksheet xmlns="http://schemas.openxmlformats.org/spreadsheetml/2006/main" xmlns:r="http://schemas.openxmlformats.org/officeDocument/2006/relationships">
  <dimension ref="A1:H13"/>
  <sheetViews>
    <sheetView zoomScalePageLayoutView="0" workbookViewId="0" topLeftCell="A1">
      <selection activeCell="C13" sqref="C13"/>
    </sheetView>
  </sheetViews>
  <sheetFormatPr defaultColWidth="9.140625" defaultRowHeight="12.75"/>
  <cols>
    <col min="1" max="1" width="29.421875" style="0" customWidth="1"/>
    <col min="2" max="2" width="6.7109375" style="0" bestFit="1" customWidth="1"/>
    <col min="3" max="5" width="10.57421875" style="0" bestFit="1" customWidth="1"/>
    <col min="6" max="6" width="12.7109375" style="0" bestFit="1" customWidth="1"/>
    <col min="7" max="8" width="10.57421875" style="0" bestFit="1" customWidth="1"/>
  </cols>
  <sheetData>
    <row r="1" ht="12.75">
      <c r="A1" s="15"/>
    </row>
    <row r="2" ht="12.75">
      <c r="A2" s="61" t="s">
        <v>151</v>
      </c>
    </row>
    <row r="3" spans="1:6" ht="12.75">
      <c r="A3" s="9"/>
      <c r="F3" t="s">
        <v>375</v>
      </c>
    </row>
    <row r="4" spans="1:8" ht="29.25" customHeight="1">
      <c r="A4" s="275" t="s">
        <v>128</v>
      </c>
      <c r="B4" s="248" t="s">
        <v>13</v>
      </c>
      <c r="C4" s="249" t="s">
        <v>644</v>
      </c>
      <c r="D4" s="250" t="s">
        <v>481</v>
      </c>
      <c r="E4" s="250" t="s">
        <v>482</v>
      </c>
      <c r="F4" s="250" t="s">
        <v>483</v>
      </c>
      <c r="G4" s="250" t="s">
        <v>484</v>
      </c>
      <c r="H4" s="250" t="s">
        <v>485</v>
      </c>
    </row>
    <row r="5" spans="1:8" ht="19.5" customHeight="1">
      <c r="A5" s="96" t="s">
        <v>152</v>
      </c>
      <c r="B5" s="7"/>
      <c r="C5" s="40">
        <v>522.7698255435828</v>
      </c>
      <c r="D5" s="40">
        <v>600.9114401066502</v>
      </c>
      <c r="E5" s="40">
        <v>689.1716326920794</v>
      </c>
      <c r="F5" s="40">
        <v>782.0027115650757</v>
      </c>
      <c r="G5" s="40">
        <v>883.8067703204401</v>
      </c>
      <c r="H5" s="40">
        <v>987.9853853491113</v>
      </c>
    </row>
    <row r="6" spans="1:8" ht="19.5" customHeight="1">
      <c r="A6" s="97" t="s">
        <v>153</v>
      </c>
      <c r="B6" s="7"/>
      <c r="C6" s="40">
        <v>25</v>
      </c>
      <c r="D6" s="40">
        <v>25</v>
      </c>
      <c r="E6" s="40">
        <v>25</v>
      </c>
      <c r="F6" s="40">
        <v>25</v>
      </c>
      <c r="G6" s="40">
        <v>25</v>
      </c>
      <c r="H6" s="40">
        <v>25</v>
      </c>
    </row>
    <row r="7" spans="1:8" ht="38.25">
      <c r="A7" s="283" t="s">
        <v>154</v>
      </c>
      <c r="B7" s="22"/>
      <c r="C7" s="122">
        <f aca="true" t="shared" si="0" ref="C7:H7">+(C5/8)+C6</f>
        <v>90.34622819294785</v>
      </c>
      <c r="D7" s="122">
        <f t="shared" si="0"/>
        <v>100.11393001333127</v>
      </c>
      <c r="E7" s="122">
        <f t="shared" si="0"/>
        <v>111.14645408650992</v>
      </c>
      <c r="F7" s="122">
        <f t="shared" si="0"/>
        <v>122.75033894563447</v>
      </c>
      <c r="G7" s="122">
        <f t="shared" si="0"/>
        <v>135.47584629005502</v>
      </c>
      <c r="H7" s="122">
        <f t="shared" si="0"/>
        <v>148.4981731686389</v>
      </c>
    </row>
    <row r="10" spans="3:8" ht="12.75">
      <c r="C10" s="67" t="s">
        <v>418</v>
      </c>
      <c r="D10" s="124" t="s">
        <v>481</v>
      </c>
      <c r="E10" s="124" t="s">
        <v>482</v>
      </c>
      <c r="F10" s="124" t="s">
        <v>483</v>
      </c>
      <c r="G10" s="124" t="s">
        <v>484</v>
      </c>
      <c r="H10" s="124" t="s">
        <v>485</v>
      </c>
    </row>
    <row r="11" spans="1:8" ht="12.75">
      <c r="A11" s="15" t="s">
        <v>641</v>
      </c>
      <c r="C11" s="20">
        <f>'O&amp;M'!G26</f>
        <v>614.3198255435827</v>
      </c>
      <c r="D11" s="20">
        <f>'O&amp;M'!H26</f>
        <v>706.1514401066502</v>
      </c>
      <c r="E11" s="20">
        <f>'O&amp;M'!I26</f>
        <v>809.8716326920794</v>
      </c>
      <c r="F11" s="20">
        <f>'O&amp;M'!J26</f>
        <v>918.9527115650757</v>
      </c>
      <c r="G11" s="20">
        <f>'O&amp;M'!K26</f>
        <v>1038.58677032044</v>
      </c>
      <c r="H11" s="20">
        <f>'O&amp;M'!L26</f>
        <v>1161.0053853491113</v>
      </c>
    </row>
    <row r="12" spans="1:8" ht="12.75">
      <c r="A12" s="151" t="s">
        <v>642</v>
      </c>
      <c r="C12">
        <f>91.55</f>
        <v>91.55</v>
      </c>
      <c r="D12">
        <f>105.24</f>
        <v>105.24</v>
      </c>
      <c r="E12">
        <f>120.7</f>
        <v>120.7</v>
      </c>
      <c r="F12">
        <f>136.95</f>
        <v>136.95</v>
      </c>
      <c r="G12">
        <f>154.78</f>
        <v>154.78</v>
      </c>
      <c r="H12">
        <f>173.02</f>
        <v>173.02</v>
      </c>
    </row>
    <row r="13" spans="1:8" ht="12.75">
      <c r="A13" s="15" t="s">
        <v>643</v>
      </c>
      <c r="C13" s="20">
        <f aca="true" t="shared" si="1" ref="C13:H13">C11-C12</f>
        <v>522.7698255435828</v>
      </c>
      <c r="D13" s="20">
        <f t="shared" si="1"/>
        <v>600.9114401066502</v>
      </c>
      <c r="E13" s="20">
        <f t="shared" si="1"/>
        <v>689.1716326920794</v>
      </c>
      <c r="F13" s="20">
        <f t="shared" si="1"/>
        <v>782.0027115650757</v>
      </c>
      <c r="G13" s="20">
        <f t="shared" si="1"/>
        <v>883.8067703204401</v>
      </c>
      <c r="H13" s="20">
        <f t="shared" si="1"/>
        <v>987.9853853491113</v>
      </c>
    </row>
  </sheetData>
  <sheetProtection/>
  <dataValidations count="1">
    <dataValidation type="decimal" allowBlank="1" showInputMessage="1" showErrorMessage="1" error="Enter in number format only" sqref="B4">
      <formula1>-1000000000000000</formula1>
      <formula2>100000000000000000</formula2>
    </dataValidation>
  </dataValidations>
  <printOptions horizontalCentered="1"/>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H10"/>
  <sheetViews>
    <sheetView zoomScalePageLayoutView="0" workbookViewId="0" topLeftCell="A1">
      <selection activeCell="K10" sqref="K10"/>
    </sheetView>
  </sheetViews>
  <sheetFormatPr defaultColWidth="9.140625" defaultRowHeight="12.75"/>
  <cols>
    <col min="1" max="1" width="28.140625" style="0" bestFit="1" customWidth="1"/>
    <col min="2" max="2" width="6.7109375" style="0" bestFit="1" customWidth="1"/>
    <col min="3" max="5" width="10.57421875" style="0" bestFit="1" customWidth="1"/>
    <col min="6" max="6" width="13.140625" style="0" bestFit="1" customWidth="1"/>
    <col min="7" max="8" width="10.57421875" style="0" bestFit="1" customWidth="1"/>
  </cols>
  <sheetData>
    <row r="1" ht="12.75">
      <c r="A1" s="20"/>
    </row>
    <row r="2" ht="12.75">
      <c r="A2" s="20"/>
    </row>
    <row r="3" spans="1:6" ht="12.75">
      <c r="A3" s="43" t="s">
        <v>148</v>
      </c>
      <c r="F3" s="15" t="s">
        <v>466</v>
      </c>
    </row>
    <row r="4" ht="12.75">
      <c r="A4" s="1"/>
    </row>
    <row r="5" spans="1:8" ht="26.25" customHeight="1">
      <c r="A5" s="276" t="s">
        <v>0</v>
      </c>
      <c r="B5" s="248" t="s">
        <v>13</v>
      </c>
      <c r="C5" s="249" t="s">
        <v>644</v>
      </c>
      <c r="D5" s="256" t="s">
        <v>481</v>
      </c>
      <c r="E5" s="256" t="s">
        <v>482</v>
      </c>
      <c r="F5" s="256" t="s">
        <v>483</v>
      </c>
      <c r="G5" s="256" t="s">
        <v>484</v>
      </c>
      <c r="H5" s="256" t="s">
        <v>485</v>
      </c>
    </row>
    <row r="6" spans="1:8" ht="25.5">
      <c r="A6" s="59" t="s">
        <v>149</v>
      </c>
      <c r="B6" s="7"/>
      <c r="C6" s="170">
        <v>0</v>
      </c>
      <c r="D6" s="171"/>
      <c r="E6" s="7"/>
      <c r="F6" s="7"/>
      <c r="G6" s="7"/>
      <c r="H6" s="7"/>
    </row>
    <row r="7" spans="1:8" ht="23.25" customHeight="1">
      <c r="A7" s="45" t="s">
        <v>400</v>
      </c>
      <c r="B7" s="7"/>
      <c r="C7" s="170">
        <v>0</v>
      </c>
      <c r="D7" s="7">
        <v>0</v>
      </c>
      <c r="E7" s="7">
        <v>0</v>
      </c>
      <c r="F7" s="7">
        <v>0</v>
      </c>
      <c r="G7" s="7">
        <v>0</v>
      </c>
      <c r="H7" s="7">
        <v>0</v>
      </c>
    </row>
    <row r="8" spans="1:8" ht="23.25" customHeight="1">
      <c r="A8" s="45" t="s">
        <v>401</v>
      </c>
      <c r="B8" s="7"/>
      <c r="C8" s="170">
        <v>0</v>
      </c>
      <c r="D8" s="7">
        <v>0</v>
      </c>
      <c r="E8" s="7">
        <v>0</v>
      </c>
      <c r="F8" s="7">
        <v>0</v>
      </c>
      <c r="G8" s="7">
        <v>0</v>
      </c>
      <c r="H8" s="7">
        <v>0</v>
      </c>
    </row>
    <row r="9" spans="1:8" ht="23.25" customHeight="1">
      <c r="A9" s="46"/>
      <c r="B9" s="7"/>
      <c r="C9" s="170"/>
      <c r="D9" s="7"/>
      <c r="E9" s="7"/>
      <c r="F9" s="7"/>
      <c r="G9" s="7"/>
      <c r="H9" s="7"/>
    </row>
    <row r="10" spans="1:8" ht="12.75">
      <c r="A10" s="48" t="s">
        <v>150</v>
      </c>
      <c r="B10" s="48"/>
      <c r="C10" s="60">
        <f aca="true" t="shared" si="0" ref="C10:H10">SUM(C6:C9)</f>
        <v>0</v>
      </c>
      <c r="D10" s="60">
        <f t="shared" si="0"/>
        <v>0</v>
      </c>
      <c r="E10" s="60">
        <f t="shared" si="0"/>
        <v>0</v>
      </c>
      <c r="F10" s="60">
        <f t="shared" si="0"/>
        <v>0</v>
      </c>
      <c r="G10" s="60">
        <f t="shared" si="0"/>
        <v>0</v>
      </c>
      <c r="H10" s="60">
        <f t="shared" si="0"/>
        <v>0</v>
      </c>
    </row>
  </sheetData>
  <sheetProtection/>
  <dataValidations count="1">
    <dataValidation type="decimal" allowBlank="1" showInputMessage="1" showErrorMessage="1" error="Enter in number format only" sqref="B5">
      <formula1>-1000000000000000</formula1>
      <formula2>100000000000000000</formula2>
    </dataValidation>
  </dataValidations>
  <printOptions horizontalCentered="1"/>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H7"/>
  <sheetViews>
    <sheetView zoomScalePageLayoutView="0" workbookViewId="0" topLeftCell="A1">
      <selection activeCell="A4" sqref="A4:H4"/>
    </sheetView>
  </sheetViews>
  <sheetFormatPr defaultColWidth="9.140625" defaultRowHeight="12.75"/>
  <cols>
    <col min="1" max="1" width="23.8515625" style="0" customWidth="1"/>
    <col min="2" max="2" width="6.7109375" style="0" bestFit="1" customWidth="1"/>
    <col min="3" max="3" width="11.28125" style="0" bestFit="1" customWidth="1"/>
    <col min="4" max="8" width="10.57421875" style="0" bestFit="1" customWidth="1"/>
  </cols>
  <sheetData>
    <row r="1" ht="12.75">
      <c r="A1" s="57" t="s">
        <v>144</v>
      </c>
    </row>
    <row r="2" ht="12.75">
      <c r="A2" s="47"/>
    </row>
    <row r="3" ht="12.75">
      <c r="A3" s="58"/>
    </row>
    <row r="4" spans="1:8" ht="30" customHeight="1">
      <c r="A4" s="255" t="s">
        <v>0</v>
      </c>
      <c r="B4" s="248" t="s">
        <v>13</v>
      </c>
      <c r="C4" s="251" t="s">
        <v>644</v>
      </c>
      <c r="D4" s="252" t="s">
        <v>481</v>
      </c>
      <c r="E4" s="252" t="s">
        <v>482</v>
      </c>
      <c r="F4" s="252" t="s">
        <v>483</v>
      </c>
      <c r="G4" s="252" t="s">
        <v>484</v>
      </c>
      <c r="H4" s="252" t="s">
        <v>485</v>
      </c>
    </row>
    <row r="5" spans="1:8" ht="21" customHeight="1">
      <c r="A5" s="5" t="s">
        <v>145</v>
      </c>
      <c r="B5" s="7"/>
      <c r="C5" s="247">
        <f>2.84%</f>
        <v>0.028399999999999998</v>
      </c>
      <c r="D5" s="247">
        <f>2.82%</f>
        <v>0.0282</v>
      </c>
      <c r="E5" s="247">
        <f>2.8%</f>
        <v>0.027999999999999997</v>
      </c>
      <c r="F5" s="247">
        <f>2.78%</f>
        <v>0.0278</v>
      </c>
      <c r="G5" s="247">
        <f>2.75%</f>
        <v>0.0275</v>
      </c>
      <c r="H5" s="247">
        <f>2.7%</f>
        <v>0.027000000000000003</v>
      </c>
    </row>
    <row r="6" spans="1:8" ht="21" customHeight="1">
      <c r="A6" s="5" t="s">
        <v>146</v>
      </c>
      <c r="B6" s="7"/>
      <c r="C6" s="149">
        <v>0.0314</v>
      </c>
      <c r="D6" s="149">
        <v>0.0312</v>
      </c>
      <c r="E6" s="149">
        <v>0.031</v>
      </c>
      <c r="F6" s="149">
        <v>0.0308</v>
      </c>
      <c r="G6" s="149">
        <v>0.0305</v>
      </c>
      <c r="H6" s="149">
        <v>0.03</v>
      </c>
    </row>
    <row r="7" spans="1:8" ht="21" customHeight="1">
      <c r="A7" s="5" t="s">
        <v>147</v>
      </c>
      <c r="B7" s="7"/>
      <c r="C7" s="247">
        <f>3.44%</f>
        <v>0.0344</v>
      </c>
      <c r="D7" s="247">
        <f>3.42%</f>
        <v>0.0342</v>
      </c>
      <c r="E7" s="149">
        <v>0.034</v>
      </c>
      <c r="F7" s="149">
        <v>0.0338</v>
      </c>
      <c r="G7" s="149">
        <v>0.0335</v>
      </c>
      <c r="H7" s="149">
        <v>0.033</v>
      </c>
    </row>
  </sheetData>
  <sheetProtection/>
  <dataValidations count="1">
    <dataValidation type="decimal" allowBlank="1" showInputMessage="1" showErrorMessage="1" error="Enter in number format only" sqref="B4">
      <formula1>-1000000000000000</formula1>
      <formula2>100000000000000000</formula2>
    </dataValidation>
  </dataValidations>
  <printOptions horizontalCentered="1"/>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G46"/>
  <sheetViews>
    <sheetView zoomScalePageLayoutView="0" workbookViewId="0" topLeftCell="A46">
      <selection activeCell="K5" sqref="K5"/>
    </sheetView>
  </sheetViews>
  <sheetFormatPr defaultColWidth="9.140625" defaultRowHeight="12.75"/>
  <cols>
    <col min="1" max="1" width="22.57421875" style="0" customWidth="1"/>
    <col min="2" max="2" width="6.7109375" style="0" bestFit="1" customWidth="1"/>
    <col min="3" max="3" width="13.28125" style="0" customWidth="1"/>
    <col min="4" max="4" width="11.8515625" style="0" customWidth="1"/>
    <col min="5" max="5" width="11.7109375" style="0" customWidth="1"/>
    <col min="6" max="6" width="11.00390625" style="0" customWidth="1"/>
    <col min="7" max="7" width="10.140625" style="0" customWidth="1"/>
  </cols>
  <sheetData>
    <row r="1" spans="1:7" ht="12.75">
      <c r="A1" s="9" t="s">
        <v>137</v>
      </c>
      <c r="B1" s="20"/>
      <c r="C1" s="20"/>
      <c r="D1" s="20"/>
      <c r="E1" s="20"/>
      <c r="F1" s="20"/>
      <c r="G1" s="20"/>
    </row>
    <row r="2" spans="1:7" ht="12.75">
      <c r="A2" s="10" t="s">
        <v>138</v>
      </c>
      <c r="B2" s="20"/>
      <c r="C2" s="20"/>
      <c r="D2" s="20"/>
      <c r="E2" s="20"/>
      <c r="F2" s="20"/>
      <c r="G2" s="20"/>
    </row>
    <row r="5" spans="1:7" ht="12.75">
      <c r="A5" s="266" t="s">
        <v>645</v>
      </c>
      <c r="B5" s="51"/>
      <c r="C5" s="20"/>
      <c r="D5" s="20"/>
      <c r="E5" s="20"/>
      <c r="F5" s="20"/>
      <c r="G5" s="20"/>
    </row>
    <row r="6" spans="1:7" ht="54" customHeight="1">
      <c r="A6" s="269" t="s">
        <v>0</v>
      </c>
      <c r="B6" s="269" t="s">
        <v>13</v>
      </c>
      <c r="C6" s="269" t="s">
        <v>139</v>
      </c>
      <c r="D6" s="269" t="s">
        <v>104</v>
      </c>
      <c r="E6" s="269" t="s">
        <v>140</v>
      </c>
      <c r="F6" s="269" t="s">
        <v>141</v>
      </c>
      <c r="G6" s="269" t="s">
        <v>107</v>
      </c>
    </row>
    <row r="7" spans="1:7" ht="15.75" customHeight="1">
      <c r="A7" s="53" t="s">
        <v>142</v>
      </c>
      <c r="B7" s="52"/>
      <c r="C7" s="54">
        <v>671.5500000000001</v>
      </c>
      <c r="D7" s="54">
        <f>80+41.53</f>
        <v>121.53</v>
      </c>
      <c r="E7" s="54">
        <f>'10 (NTI)'!C14+'10 (NTI)'!C15</f>
        <v>56.66</v>
      </c>
      <c r="F7" s="55">
        <f>C7+D7-E7</f>
        <v>736.4200000000001</v>
      </c>
      <c r="G7" s="54"/>
    </row>
    <row r="8" spans="1:7" ht="15.75" customHeight="1">
      <c r="A8" s="53" t="s">
        <v>143</v>
      </c>
      <c r="B8" s="52"/>
      <c r="C8" s="54">
        <v>238.2</v>
      </c>
      <c r="D8" s="54"/>
      <c r="E8" s="54"/>
      <c r="F8" s="55">
        <f>C8+D8-E8</f>
        <v>238.2</v>
      </c>
      <c r="G8" s="54"/>
    </row>
    <row r="9" spans="1:7" ht="15.75" customHeight="1">
      <c r="A9" s="166" t="s">
        <v>514</v>
      </c>
      <c r="B9" s="52"/>
      <c r="C9" s="54">
        <v>0.97</v>
      </c>
      <c r="D9" s="54">
        <v>-0.48</v>
      </c>
      <c r="E9" s="54"/>
      <c r="F9" s="55">
        <f>C9+D9-E9</f>
        <v>0.49</v>
      </c>
      <c r="G9" s="54"/>
    </row>
    <row r="10" spans="1:7" ht="15.75" customHeight="1">
      <c r="A10" s="56" t="s">
        <v>102</v>
      </c>
      <c r="B10" s="52"/>
      <c r="C10" s="12">
        <f>SUM(C7:C9)</f>
        <v>910.72</v>
      </c>
      <c r="D10" s="12">
        <f>SUM(D7:D9)</f>
        <v>121.05</v>
      </c>
      <c r="E10" s="12">
        <f>SUM(E7:E9)</f>
        <v>56.66</v>
      </c>
      <c r="F10" s="12">
        <f>SUM(F7:F9)</f>
        <v>975.1100000000001</v>
      </c>
      <c r="G10" s="12"/>
    </row>
    <row r="13" spans="1:7" ht="12.75">
      <c r="A13" s="266" t="s">
        <v>476</v>
      </c>
      <c r="B13" s="51"/>
      <c r="C13" s="20"/>
      <c r="D13" s="20"/>
      <c r="E13" s="20"/>
      <c r="F13" s="20"/>
      <c r="G13" s="20"/>
    </row>
    <row r="14" spans="1:7" ht="55.5" customHeight="1">
      <c r="A14" s="269" t="s">
        <v>0</v>
      </c>
      <c r="B14" s="269" t="s">
        <v>13</v>
      </c>
      <c r="C14" s="269" t="s">
        <v>139</v>
      </c>
      <c r="D14" s="269" t="s">
        <v>104</v>
      </c>
      <c r="E14" s="269" t="s">
        <v>140</v>
      </c>
      <c r="F14" s="269" t="s">
        <v>141</v>
      </c>
      <c r="G14" s="269" t="s">
        <v>107</v>
      </c>
    </row>
    <row r="15" spans="1:7" ht="15.75" customHeight="1">
      <c r="A15" s="53" t="s">
        <v>142</v>
      </c>
      <c r="B15" s="52"/>
      <c r="C15" s="54">
        <f>+F7</f>
        <v>736.4200000000001</v>
      </c>
      <c r="D15" s="54">
        <v>84</v>
      </c>
      <c r="E15" s="54">
        <f>'10 (NTI)'!D14+'10 (NTI)'!D15</f>
        <v>62.03</v>
      </c>
      <c r="F15" s="55">
        <f>C15+D15-E15</f>
        <v>758.3900000000001</v>
      </c>
      <c r="G15" s="54"/>
    </row>
    <row r="16" spans="1:7" ht="15.75" customHeight="1">
      <c r="A16" s="53" t="s">
        <v>143</v>
      </c>
      <c r="B16" s="52"/>
      <c r="C16" s="54">
        <f>+F8</f>
        <v>238.2</v>
      </c>
      <c r="D16" s="54"/>
      <c r="E16" s="54"/>
      <c r="F16" s="55">
        <f>C16+D16-E16</f>
        <v>238.2</v>
      </c>
      <c r="G16" s="54"/>
    </row>
    <row r="17" spans="1:7" ht="15.75" customHeight="1">
      <c r="A17" s="166" t="s">
        <v>514</v>
      </c>
      <c r="B17" s="52"/>
      <c r="C17" s="54">
        <f>+F9</f>
        <v>0.49</v>
      </c>
      <c r="D17" s="54">
        <v>-0.49</v>
      </c>
      <c r="E17" s="54"/>
      <c r="F17" s="55">
        <f>C17+D17-E17</f>
        <v>0</v>
      </c>
      <c r="G17" s="54"/>
    </row>
    <row r="18" spans="1:7" ht="15.75" customHeight="1">
      <c r="A18" s="56" t="s">
        <v>102</v>
      </c>
      <c r="B18" s="52"/>
      <c r="C18" s="12">
        <f>SUM(C15:C17)</f>
        <v>975.1100000000001</v>
      </c>
      <c r="D18" s="12">
        <f>SUM(D15:D17)</f>
        <v>83.51</v>
      </c>
      <c r="E18" s="12">
        <f>SUM(E15:E16)</f>
        <v>62.03</v>
      </c>
      <c r="F18" s="12">
        <f>SUM(F15:F17)</f>
        <v>996.5900000000001</v>
      </c>
      <c r="G18" s="12"/>
    </row>
    <row r="21" spans="1:7" ht="12.75">
      <c r="A21" s="266" t="s">
        <v>477</v>
      </c>
      <c r="B21" s="51"/>
      <c r="C21" s="20"/>
      <c r="D21" s="20"/>
      <c r="E21" s="20"/>
      <c r="F21" s="20"/>
      <c r="G21" s="20"/>
    </row>
    <row r="22" spans="1:7" ht="53.25" customHeight="1">
      <c r="A22" s="269" t="s">
        <v>0</v>
      </c>
      <c r="B22" s="269" t="s">
        <v>13</v>
      </c>
      <c r="C22" s="269" t="s">
        <v>139</v>
      </c>
      <c r="D22" s="269" t="s">
        <v>104</v>
      </c>
      <c r="E22" s="269" t="s">
        <v>140</v>
      </c>
      <c r="F22" s="269" t="s">
        <v>141</v>
      </c>
      <c r="G22" s="269" t="s">
        <v>107</v>
      </c>
    </row>
    <row r="23" spans="1:7" ht="15.75" customHeight="1">
      <c r="A23" s="53" t="s">
        <v>142</v>
      </c>
      <c r="B23" s="52"/>
      <c r="C23" s="54">
        <f>+F15</f>
        <v>758.3900000000001</v>
      </c>
      <c r="D23" s="54">
        <f>D15*105%</f>
        <v>88.2</v>
      </c>
      <c r="E23" s="54">
        <f>'10 (NTI)'!E14+'10 (NTI)'!E15</f>
        <v>67.74000000000001</v>
      </c>
      <c r="F23" s="55">
        <f>C23+D23-E23</f>
        <v>778.8500000000001</v>
      </c>
      <c r="G23" s="54"/>
    </row>
    <row r="24" spans="1:7" ht="15.75" customHeight="1">
      <c r="A24" s="53" t="s">
        <v>143</v>
      </c>
      <c r="B24" s="52"/>
      <c r="C24" s="54">
        <f>+F16</f>
        <v>238.2</v>
      </c>
      <c r="D24" s="54"/>
      <c r="E24" s="54"/>
      <c r="F24" s="55">
        <f>C24+D24-E24</f>
        <v>238.2</v>
      </c>
      <c r="G24" s="54"/>
    </row>
    <row r="25" spans="1:7" ht="15.75" customHeight="1">
      <c r="A25" s="56" t="s">
        <v>102</v>
      </c>
      <c r="B25" s="52"/>
      <c r="C25" s="12">
        <f>SUM(C23:C24)</f>
        <v>996.5900000000001</v>
      </c>
      <c r="D25" s="12">
        <f>SUM(D23:D24)</f>
        <v>88.2</v>
      </c>
      <c r="E25" s="12">
        <f>SUM(E23:E24)</f>
        <v>67.74000000000001</v>
      </c>
      <c r="F25" s="12">
        <f>SUM(F23:F24)</f>
        <v>1017.0500000000002</v>
      </c>
      <c r="G25" s="12"/>
    </row>
    <row r="28" spans="1:7" ht="12.75">
      <c r="A28" s="266" t="s">
        <v>478</v>
      </c>
      <c r="B28" s="51"/>
      <c r="C28" s="20"/>
      <c r="D28" s="20"/>
      <c r="E28" s="20"/>
      <c r="F28" s="20"/>
      <c r="G28" s="20"/>
    </row>
    <row r="29" spans="1:7" ht="57.75" customHeight="1">
      <c r="A29" s="269" t="s">
        <v>0</v>
      </c>
      <c r="B29" s="269" t="s">
        <v>13</v>
      </c>
      <c r="C29" s="269" t="s">
        <v>139</v>
      </c>
      <c r="D29" s="269" t="s">
        <v>104</v>
      </c>
      <c r="E29" s="269" t="s">
        <v>140</v>
      </c>
      <c r="F29" s="269" t="s">
        <v>141</v>
      </c>
      <c r="G29" s="269" t="s">
        <v>107</v>
      </c>
    </row>
    <row r="30" spans="1:7" ht="15.75" customHeight="1">
      <c r="A30" s="53" t="s">
        <v>142</v>
      </c>
      <c r="B30" s="52"/>
      <c r="C30" s="54">
        <f>+F23</f>
        <v>778.8500000000001</v>
      </c>
      <c r="D30" s="54">
        <f>167.61</f>
        <v>167.61</v>
      </c>
      <c r="E30" s="54">
        <f>'10 (NTI)'!F14+'10 (NTI)'!F15</f>
        <v>73.82</v>
      </c>
      <c r="F30" s="55">
        <f>C30+D30-E30</f>
        <v>872.6400000000001</v>
      </c>
      <c r="G30" s="54"/>
    </row>
    <row r="31" spans="1:7" ht="15.75" customHeight="1">
      <c r="A31" s="53" t="s">
        <v>143</v>
      </c>
      <c r="B31" s="52"/>
      <c r="C31" s="54">
        <f>+F24</f>
        <v>238.2</v>
      </c>
      <c r="D31" s="54"/>
      <c r="E31" s="54"/>
      <c r="F31" s="55">
        <f>C31+D31-E31</f>
        <v>238.2</v>
      </c>
      <c r="G31" s="54"/>
    </row>
    <row r="32" spans="1:7" ht="15.75" customHeight="1">
      <c r="A32" s="56" t="s">
        <v>102</v>
      </c>
      <c r="B32" s="52"/>
      <c r="C32" s="12">
        <f>SUM(C30:C31)</f>
        <v>1017.0500000000002</v>
      </c>
      <c r="D32" s="12">
        <f>SUM(D30:D31)</f>
        <v>167.61</v>
      </c>
      <c r="E32" s="12">
        <f>SUM(E30:E31)</f>
        <v>73.82</v>
      </c>
      <c r="F32" s="12">
        <f>SUM(F30:F31)</f>
        <v>1110.8400000000001</v>
      </c>
      <c r="G32" s="12"/>
    </row>
    <row r="35" spans="1:7" ht="12.75">
      <c r="A35" s="266" t="s">
        <v>479</v>
      </c>
      <c r="B35" s="51"/>
      <c r="C35" s="20"/>
      <c r="D35" s="20"/>
      <c r="E35" s="20"/>
      <c r="F35" s="20"/>
      <c r="G35" s="20"/>
    </row>
    <row r="36" spans="1:7" ht="54" customHeight="1">
      <c r="A36" s="269" t="s">
        <v>0</v>
      </c>
      <c r="B36" s="269" t="s">
        <v>13</v>
      </c>
      <c r="C36" s="269" t="s">
        <v>139</v>
      </c>
      <c r="D36" s="269" t="s">
        <v>104</v>
      </c>
      <c r="E36" s="269" t="s">
        <v>140</v>
      </c>
      <c r="F36" s="269" t="s">
        <v>141</v>
      </c>
      <c r="G36" s="269" t="s">
        <v>107</v>
      </c>
    </row>
    <row r="37" spans="1:7" ht="15.75" customHeight="1">
      <c r="A37" s="53" t="s">
        <v>142</v>
      </c>
      <c r="B37" s="52"/>
      <c r="C37" s="54">
        <f>+F30</f>
        <v>872.6400000000001</v>
      </c>
      <c r="D37" s="54">
        <v>250.99</v>
      </c>
      <c r="E37" s="54">
        <f>'10 (NTI)'!G14+'10 (NTI)'!G15</f>
        <v>80.31</v>
      </c>
      <c r="F37" s="55">
        <f>C37+D37-E37</f>
        <v>1043.3200000000002</v>
      </c>
      <c r="G37" s="54"/>
    </row>
    <row r="38" spans="1:7" ht="15.75" customHeight="1">
      <c r="A38" s="53" t="s">
        <v>143</v>
      </c>
      <c r="B38" s="52"/>
      <c r="C38" s="54">
        <f>+F31</f>
        <v>238.2</v>
      </c>
      <c r="D38" s="54"/>
      <c r="E38" s="54"/>
      <c r="F38" s="55">
        <f>C38+D38-E38</f>
        <v>238.2</v>
      </c>
      <c r="G38" s="54"/>
    </row>
    <row r="39" spans="1:7" ht="15.75" customHeight="1">
      <c r="A39" s="56" t="s">
        <v>102</v>
      </c>
      <c r="B39" s="52"/>
      <c r="C39" s="12">
        <f>SUM(C37:C38)</f>
        <v>1110.8400000000001</v>
      </c>
      <c r="D39" s="12">
        <f>SUM(D37:D38)</f>
        <v>250.99</v>
      </c>
      <c r="E39" s="12">
        <f>SUM(E37:E38)</f>
        <v>80.31</v>
      </c>
      <c r="F39" s="12">
        <f>SUM(F37:F38)</f>
        <v>1281.5200000000002</v>
      </c>
      <c r="G39" s="12"/>
    </row>
    <row r="42" spans="1:7" ht="12.75">
      <c r="A42" s="266" t="s">
        <v>480</v>
      </c>
      <c r="B42" s="51"/>
      <c r="C42" s="20"/>
      <c r="D42" s="20"/>
      <c r="E42" s="20"/>
      <c r="F42" s="20"/>
      <c r="G42" s="20"/>
    </row>
    <row r="43" spans="1:7" ht="63.75">
      <c r="A43" s="269" t="s">
        <v>0</v>
      </c>
      <c r="B43" s="269" t="s">
        <v>13</v>
      </c>
      <c r="C43" s="269" t="s">
        <v>139</v>
      </c>
      <c r="D43" s="269" t="s">
        <v>104</v>
      </c>
      <c r="E43" s="269" t="s">
        <v>140</v>
      </c>
      <c r="F43" s="269" t="s">
        <v>141</v>
      </c>
      <c r="G43" s="269" t="s">
        <v>107</v>
      </c>
    </row>
    <row r="44" spans="1:7" ht="15.75" customHeight="1">
      <c r="A44" s="53" t="s">
        <v>142</v>
      </c>
      <c r="B44" s="52"/>
      <c r="C44" s="54">
        <f>+F37</f>
        <v>1043.3200000000002</v>
      </c>
      <c r="D44" s="54">
        <f>D37*105%</f>
        <v>263.53950000000003</v>
      </c>
      <c r="E44" s="54">
        <f>'10 (NTI)'!H14+'10 (NTI)'!H15</f>
        <v>87.25</v>
      </c>
      <c r="F44" s="55">
        <f>C44+D44-E44</f>
        <v>1219.6095000000003</v>
      </c>
      <c r="G44" s="54"/>
    </row>
    <row r="45" spans="1:7" ht="15.75" customHeight="1">
      <c r="A45" s="53" t="s">
        <v>143</v>
      </c>
      <c r="B45" s="52"/>
      <c r="C45" s="54">
        <f>+F38</f>
        <v>238.2</v>
      </c>
      <c r="D45" s="54"/>
      <c r="E45" s="54"/>
      <c r="F45" s="55">
        <f>C45+D45-E45</f>
        <v>238.2</v>
      </c>
      <c r="G45" s="54"/>
    </row>
    <row r="46" spans="1:7" ht="15.75" customHeight="1">
      <c r="A46" s="56" t="s">
        <v>102</v>
      </c>
      <c r="B46" s="52"/>
      <c r="C46" s="12">
        <f>SUM(C44:C45)</f>
        <v>1281.5200000000002</v>
      </c>
      <c r="D46" s="12">
        <f>SUM(D44:D45)</f>
        <v>263.53950000000003</v>
      </c>
      <c r="E46" s="12">
        <f>SUM(E44:E45)</f>
        <v>87.25</v>
      </c>
      <c r="F46" s="12">
        <f>SUM(F44:F45)</f>
        <v>1457.8095000000003</v>
      </c>
      <c r="G46" s="12"/>
    </row>
  </sheetData>
  <sheetProtection/>
  <dataValidations count="3">
    <dataValidation type="decimal" allowBlank="1" showInputMessage="1" showErrorMessage="1" sqref="C30:E31 C23:E24 C15:E17 C37:E38 C44:E45 C7:E9">
      <formula1>-100000000000000000</formula1>
      <formula2>100000000000000000</formula2>
    </dataValidation>
    <dataValidation operator="greaterThan" allowBlank="1" showInputMessage="1" showErrorMessage="1" sqref="G1:G2 G42:G46 G35:G39 G28:G32 G21:G25 G13:G18 G5:G10"/>
    <dataValidation type="decimal" operator="greaterThan" allowBlank="1" showInputMessage="1" showErrorMessage="1" sqref="F1:F2 C46:E46 C42:E43 F42:F46 C39:E39 C35:E36 F35:F39 C32:E32 C28:E29 F28:F32 C25:E25 C21:E22 F21:F25 C18:E18 C13:E14 C10:E10 F5:F10 C5:E6 C1:E2 F13:F18">
      <formula1>-1000000000000000000000000</formula1>
    </dataValidation>
  </dataValidations>
  <printOptions horizontalCentered="1"/>
  <pageMargins left="0.75" right="0.75" top="0.78" bottom="0.5" header="0.5" footer="0.23"/>
  <pageSetup horizontalDpi="600" verticalDpi="600" orientation="portrait" paperSize="9" scale="98" r:id="rId2"/>
  <rowBreaks count="1" manualBreakCount="1">
    <brk id="3" max="6" man="1"/>
  </rowBreaks>
  <drawing r:id="rId1"/>
</worksheet>
</file>

<file path=xl/worksheets/sheet28.xml><?xml version="1.0" encoding="utf-8"?>
<worksheet xmlns="http://schemas.openxmlformats.org/spreadsheetml/2006/main" xmlns:r="http://schemas.openxmlformats.org/officeDocument/2006/relationships">
  <dimension ref="A3:H8"/>
  <sheetViews>
    <sheetView zoomScalePageLayoutView="0" workbookViewId="0" topLeftCell="A1">
      <selection activeCell="A6" sqref="A6:H8"/>
    </sheetView>
  </sheetViews>
  <sheetFormatPr defaultColWidth="9.140625" defaultRowHeight="12.75"/>
  <cols>
    <col min="1" max="1" width="39.7109375" style="0" bestFit="1" customWidth="1"/>
    <col min="2" max="2" width="10.57421875" style="0" customWidth="1"/>
    <col min="3" max="3" width="11.28125" style="0" bestFit="1" customWidth="1"/>
    <col min="4" max="4" width="10.57421875" style="0" bestFit="1" customWidth="1"/>
    <col min="5" max="5" width="12.7109375" style="0" bestFit="1" customWidth="1"/>
    <col min="6" max="8" width="10.57421875" style="0" bestFit="1" customWidth="1"/>
  </cols>
  <sheetData>
    <row r="3" spans="1:2" ht="12.75">
      <c r="A3" s="14" t="s">
        <v>135</v>
      </c>
      <c r="B3" s="27" t="s">
        <v>136</v>
      </c>
    </row>
    <row r="4" spans="1:5" ht="12.75">
      <c r="A4" s="14"/>
      <c r="E4" t="s">
        <v>375</v>
      </c>
    </row>
    <row r="5" spans="1:8" ht="27.75" customHeight="1">
      <c r="A5" s="258" t="s">
        <v>133</v>
      </c>
      <c r="B5" s="248" t="s">
        <v>13</v>
      </c>
      <c r="C5" s="251" t="s">
        <v>644</v>
      </c>
      <c r="D5" s="252" t="s">
        <v>481</v>
      </c>
      <c r="E5" s="252" t="s">
        <v>482</v>
      </c>
      <c r="F5" s="252" t="s">
        <v>483</v>
      </c>
      <c r="G5" s="252" t="s">
        <v>484</v>
      </c>
      <c r="H5" s="252" t="s">
        <v>485</v>
      </c>
    </row>
    <row r="6" spans="1:8" ht="21" customHeight="1">
      <c r="A6" s="33" t="s">
        <v>467</v>
      </c>
      <c r="B6" s="33"/>
      <c r="C6" s="40">
        <f>+'1.0'!C17</f>
        <v>1727.0786062400318</v>
      </c>
      <c r="D6" s="40">
        <f>+'1.0'!D17</f>
        <v>1673.3662163002336</v>
      </c>
      <c r="E6" s="40">
        <f>+'1.0'!E17</f>
        <v>2098.507817695349</v>
      </c>
      <c r="F6" s="40">
        <f>+'1.0'!F17</f>
        <v>2628.255287778592</v>
      </c>
      <c r="G6" s="40">
        <f>+'1.0'!G17</f>
        <v>3352.7506611496697</v>
      </c>
      <c r="H6" s="40">
        <f>+'1.0'!H17</f>
        <v>4142.7514645805895</v>
      </c>
    </row>
    <row r="7" spans="1:8" ht="21" customHeight="1">
      <c r="A7" s="313" t="s">
        <v>468</v>
      </c>
      <c r="B7" s="33"/>
      <c r="C7" s="40">
        <f>+'1c (Rev.)'!C12</f>
        <v>1416.616035912</v>
      </c>
      <c r="D7" s="40">
        <f>+'1c (Rev.)'!D12</f>
        <v>1673.3662163002334</v>
      </c>
      <c r="E7" s="40">
        <f>+'1c (Rev.)'!E12</f>
        <v>2098.507817695349</v>
      </c>
      <c r="F7" s="40">
        <f>+'1c (Rev.)'!F12</f>
        <v>2628.2552877785915</v>
      </c>
      <c r="G7" s="40">
        <f>+'1c (Rev.)'!G12</f>
        <v>3352.750661149669</v>
      </c>
      <c r="H7" s="40">
        <f>+'1c (Rev.)'!H12</f>
        <v>4142.7514645805895</v>
      </c>
    </row>
    <row r="8" spans="1:8" ht="21" customHeight="1">
      <c r="A8" s="50" t="s">
        <v>469</v>
      </c>
      <c r="B8" s="33"/>
      <c r="C8" s="314">
        <f aca="true" t="shared" si="0" ref="C8:H8">+C7-C6</f>
        <v>-310.4625703280319</v>
      </c>
      <c r="D8" s="314">
        <f t="shared" si="0"/>
        <v>0</v>
      </c>
      <c r="E8" s="314">
        <f t="shared" si="0"/>
        <v>0</v>
      </c>
      <c r="F8" s="314">
        <f t="shared" si="0"/>
        <v>0</v>
      </c>
      <c r="G8" s="314">
        <f t="shared" si="0"/>
        <v>0</v>
      </c>
      <c r="H8" s="314">
        <f t="shared" si="0"/>
        <v>0</v>
      </c>
    </row>
  </sheetData>
  <sheetProtection/>
  <dataValidations count="2">
    <dataValidation type="decimal" allowBlank="1" showInputMessage="1" showErrorMessage="1" error="Enter in number format only" sqref="B5">
      <formula1>-1000000000000000</formula1>
      <formula2>100000000000000000</formula2>
    </dataValidation>
    <dataValidation type="decimal" operator="greaterThan" allowBlank="1" showInputMessage="1" showErrorMessage="1" sqref="C8:H8">
      <formula1>-100000000000000000</formula1>
    </dataValidation>
  </dataValidations>
  <printOptions horizontalCentered="1"/>
  <pageMargins left="0.37" right="0.36" top="1" bottom="1"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3:H9"/>
  <sheetViews>
    <sheetView zoomScalePageLayoutView="0" workbookViewId="0" topLeftCell="A1">
      <selection activeCell="C8" sqref="C8:H8"/>
    </sheetView>
  </sheetViews>
  <sheetFormatPr defaultColWidth="9.140625" defaultRowHeight="12.75"/>
  <cols>
    <col min="1" max="1" width="43.421875" style="0" bestFit="1" customWidth="1"/>
    <col min="2" max="2" width="7.57421875" style="0" customWidth="1"/>
    <col min="3" max="3" width="11.28125" style="0" bestFit="1" customWidth="1"/>
    <col min="4" max="4" width="10.57421875" style="0" bestFit="1" customWidth="1"/>
    <col min="5" max="5" width="12.7109375" style="0" bestFit="1" customWidth="1"/>
    <col min="6" max="8" width="10.57421875" style="0" bestFit="1" customWidth="1"/>
  </cols>
  <sheetData>
    <row r="3" spans="1:2" ht="12.75">
      <c r="A3" s="14" t="s">
        <v>132</v>
      </c>
      <c r="B3" s="27" t="s">
        <v>134</v>
      </c>
    </row>
    <row r="4" spans="1:5" ht="12.75">
      <c r="A4" s="14"/>
      <c r="E4" t="s">
        <v>375</v>
      </c>
    </row>
    <row r="5" spans="1:8" ht="27.75" customHeight="1">
      <c r="A5" s="258"/>
      <c r="B5" s="248" t="s">
        <v>13</v>
      </c>
      <c r="C5" s="251" t="s">
        <v>644</v>
      </c>
      <c r="D5" s="252" t="s">
        <v>481</v>
      </c>
      <c r="E5" s="252" t="s">
        <v>482</v>
      </c>
      <c r="F5" s="252" t="s">
        <v>483</v>
      </c>
      <c r="G5" s="252" t="s">
        <v>484</v>
      </c>
      <c r="H5" s="252" t="s">
        <v>485</v>
      </c>
    </row>
    <row r="6" spans="1:8" ht="25.5">
      <c r="A6" s="153" t="s">
        <v>475</v>
      </c>
      <c r="B6" s="33"/>
      <c r="C6" s="40">
        <f>+'1.0'!C17</f>
        <v>1727.0786062400318</v>
      </c>
      <c r="D6" s="40">
        <f>+'1.0'!D17</f>
        <v>1673.3662163002336</v>
      </c>
      <c r="E6" s="40">
        <f>+'1.0'!E17</f>
        <v>2098.507817695349</v>
      </c>
      <c r="F6" s="40">
        <f>+'1.0'!F17</f>
        <v>2628.255287778592</v>
      </c>
      <c r="G6" s="40">
        <f>+'1.0'!G17</f>
        <v>3352.7506611496697</v>
      </c>
      <c r="H6" s="40">
        <f>+'1.0'!H17</f>
        <v>4142.7514645805895</v>
      </c>
    </row>
    <row r="7" spans="1:8" ht="20.25" customHeight="1">
      <c r="A7" s="313" t="s">
        <v>470</v>
      </c>
      <c r="B7" s="33"/>
      <c r="C7" s="40">
        <f>+8!C7</f>
        <v>1416.616035912</v>
      </c>
      <c r="D7" s="40">
        <f>+8!D7</f>
        <v>1673.3662163002334</v>
      </c>
      <c r="E7" s="40">
        <f>+8!E7</f>
        <v>2098.507817695349</v>
      </c>
      <c r="F7" s="40">
        <f>+8!F7</f>
        <v>2628.2552877785915</v>
      </c>
      <c r="G7" s="40">
        <f>+8!G7</f>
        <v>3352.750661149669</v>
      </c>
      <c r="H7" s="40">
        <f>+8!H7</f>
        <v>4142.7514645805895</v>
      </c>
    </row>
    <row r="8" spans="1:8" ht="20.25" customHeight="1">
      <c r="A8" s="313" t="s">
        <v>471</v>
      </c>
      <c r="B8" s="33"/>
      <c r="C8" s="40">
        <f>'10 (NTI)'!C17</f>
        <v>95.89</v>
      </c>
      <c r="D8" s="40">
        <f>'10 (NTI)'!D17</f>
        <v>100.88</v>
      </c>
      <c r="E8" s="40">
        <f>'10 (NTI)'!E17</f>
        <v>105.71000000000001</v>
      </c>
      <c r="F8" s="40">
        <f>'10 (NTI)'!F17</f>
        <v>110.91999999999999</v>
      </c>
      <c r="G8" s="40">
        <f>'10 (NTI)'!G17</f>
        <v>116.53999999999999</v>
      </c>
      <c r="H8" s="40">
        <f>'10 (NTI)'!H17</f>
        <v>123.6</v>
      </c>
    </row>
    <row r="9" spans="1:8" ht="20.25" customHeight="1">
      <c r="A9" s="50" t="s">
        <v>472</v>
      </c>
      <c r="B9" s="33"/>
      <c r="C9" s="12">
        <f aca="true" t="shared" si="0" ref="C9:H9">+C6-C7</f>
        <v>310.4625703280319</v>
      </c>
      <c r="D9" s="12">
        <f t="shared" si="0"/>
        <v>0</v>
      </c>
      <c r="E9" s="12">
        <f t="shared" si="0"/>
        <v>0</v>
      </c>
      <c r="F9" s="12">
        <f t="shared" si="0"/>
        <v>0</v>
      </c>
      <c r="G9" s="12">
        <f t="shared" si="0"/>
        <v>0</v>
      </c>
      <c r="H9" s="12">
        <f t="shared" si="0"/>
        <v>0</v>
      </c>
    </row>
  </sheetData>
  <sheetProtection/>
  <dataValidations count="2">
    <dataValidation type="decimal" allowBlank="1" showInputMessage="1" showErrorMessage="1" error="Enter in number format only" sqref="B5">
      <formula1>-1000000000000000</formula1>
      <formula2>100000000000000000</formula2>
    </dataValidation>
    <dataValidation type="decimal" operator="greaterThan" allowBlank="1" showInputMessage="1" showErrorMessage="1" sqref="C9:H9">
      <formula1>-100000000000000000</formula1>
    </dataValidation>
  </dataValidations>
  <printOptions horizontalCentered="1"/>
  <pageMargins left="0.4" right="0.2"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4">
      <pane xSplit="1" topLeftCell="B1" activePane="topRight" state="frozen"/>
      <selection pane="topLeft" activeCell="A1" sqref="A1"/>
      <selection pane="topRight" activeCell="D17" sqref="D17"/>
    </sheetView>
  </sheetViews>
  <sheetFormatPr defaultColWidth="9.140625" defaultRowHeight="12.75"/>
  <cols>
    <col min="1" max="1" width="61.421875" style="0" bestFit="1" customWidth="1"/>
    <col min="2" max="2" width="8.421875" style="0" bestFit="1" customWidth="1"/>
    <col min="3" max="3" width="11.28125" style="0" bestFit="1" customWidth="1"/>
    <col min="4" max="4" width="10.421875" style="0" bestFit="1" customWidth="1"/>
    <col min="5" max="5" width="10.57421875" style="0" bestFit="1" customWidth="1"/>
    <col min="6" max="6" width="12.7109375" style="0" bestFit="1" customWidth="1"/>
    <col min="7" max="8" width="10.57421875" style="0" bestFit="1" customWidth="1"/>
  </cols>
  <sheetData>
    <row r="1" spans="2:3" ht="12.75">
      <c r="B1" t="s">
        <v>474</v>
      </c>
      <c r="C1" s="152">
        <v>0.207648</v>
      </c>
    </row>
    <row r="2" ht="12.75">
      <c r="G2" t="s">
        <v>375</v>
      </c>
    </row>
    <row r="3" spans="1:8" s="3" customFormat="1" ht="26.25" customHeight="1">
      <c r="A3" s="248" t="s">
        <v>0</v>
      </c>
      <c r="B3" s="248" t="s">
        <v>13</v>
      </c>
      <c r="C3" s="251" t="s">
        <v>644</v>
      </c>
      <c r="D3" s="252" t="s">
        <v>481</v>
      </c>
      <c r="E3" s="252" t="s">
        <v>482</v>
      </c>
      <c r="F3" s="252" t="s">
        <v>483</v>
      </c>
      <c r="G3" s="252" t="s">
        <v>484</v>
      </c>
      <c r="H3" s="252" t="s">
        <v>485</v>
      </c>
    </row>
    <row r="4" spans="1:10" s="3" customFormat="1" ht="18.75" customHeight="1">
      <c r="A4" s="4" t="s">
        <v>1</v>
      </c>
      <c r="B4" s="33"/>
      <c r="C4" s="40">
        <f>'O&amp;M'!G26</f>
        <v>614.3198255435827</v>
      </c>
      <c r="D4" s="40">
        <f>'O&amp;M'!H26</f>
        <v>706.1514401066502</v>
      </c>
      <c r="E4" s="40">
        <f>'O&amp;M'!I26</f>
        <v>809.8716326920794</v>
      </c>
      <c r="F4" s="40">
        <f>'O&amp;M'!J26</f>
        <v>918.9527115650757</v>
      </c>
      <c r="G4" s="40">
        <f>'O&amp;M'!K26</f>
        <v>1038.58677032044</v>
      </c>
      <c r="H4" s="40">
        <f>'O&amp;M'!L26</f>
        <v>1161.0053853491113</v>
      </c>
      <c r="J4" s="150"/>
    </row>
    <row r="5" spans="1:10" s="3" customFormat="1" ht="18.75" customHeight="1">
      <c r="A5" s="253" t="s">
        <v>2</v>
      </c>
      <c r="B5" s="40"/>
      <c r="C5" s="40">
        <f>+'1a(RRB)'!C11</f>
        <v>540.85</v>
      </c>
      <c r="D5" s="40">
        <f>+'1a(RRB)'!D11</f>
        <v>599.45</v>
      </c>
      <c r="E5" s="40">
        <f>+'1a(RRB)'!E11</f>
        <v>674.0200000000001</v>
      </c>
      <c r="F5" s="40">
        <f>+'1a(RRB)'!F11</f>
        <v>828.6999999999999</v>
      </c>
      <c r="G5" s="40">
        <f>+'1a(RRB)'!G11</f>
        <v>1056.1</v>
      </c>
      <c r="H5" s="40">
        <f>+'1a(RRB)'!H11</f>
        <v>1350.9500000000003</v>
      </c>
      <c r="J5" s="150"/>
    </row>
    <row r="6" spans="1:8" s="3" customFormat="1" ht="18.75" customHeight="1">
      <c r="A6" s="253" t="s">
        <v>3</v>
      </c>
      <c r="B6" s="33"/>
      <c r="C6" s="33"/>
      <c r="D6" s="33"/>
      <c r="E6" s="33"/>
      <c r="F6" s="33"/>
      <c r="G6" s="33"/>
      <c r="H6" s="33"/>
    </row>
    <row r="7" spans="1:10" s="3" customFormat="1" ht="18.75" customHeight="1">
      <c r="A7" s="253" t="s">
        <v>4</v>
      </c>
      <c r="B7" s="33"/>
      <c r="C7" s="40">
        <f>(('1a(RRB)'!C18*1b!C7*1b!C10)/(1-$C$1))-('1a(RRB)'!C18*1b!C7*1b!C10)</f>
        <v>58.14644098950134</v>
      </c>
      <c r="D7" s="40">
        <f>(('1a(RRB)'!D18*1b!D7*1b!D10)/(1-$C$1))-('1a(RRB)'!D18*1b!D7*1b!D10)</f>
        <v>64.24397290456682</v>
      </c>
      <c r="E7" s="40">
        <f>(('1a(RRB)'!E18*1b!E7*1b!E10)/(1-$C$1))-('1a(RRB)'!E18*1b!E7*1b!E10)</f>
        <v>76.52555085092922</v>
      </c>
      <c r="F7" s="40">
        <f>(('1a(RRB)'!F18*1b!F7*1b!F10)/(1-$C$1))-('1a(RRB)'!F18*1b!F7*1b!F10)</f>
        <v>97.95723140845035</v>
      </c>
      <c r="G7" s="40">
        <f>(('1a(RRB)'!G18*1b!G7*1b!G10)/(1-$C$1))-('1a(RRB)'!G18*1b!G7*1b!G10)</f>
        <v>127.65925706373599</v>
      </c>
      <c r="H7" s="40">
        <f>(('1a(RRB)'!H18*1b!H7*1b!H10)/(1-$C$1))-('1a(RRB)'!H18*1b!H7*1b!H10)</f>
        <v>156.85916484604604</v>
      </c>
      <c r="J7" s="150"/>
    </row>
    <row r="8" spans="1:10" s="3" customFormat="1" ht="18.75" customHeight="1">
      <c r="A8" s="253" t="s">
        <v>5</v>
      </c>
      <c r="B8" s="33"/>
      <c r="C8" s="40">
        <f>+'1.3i'!C10</f>
        <v>0</v>
      </c>
      <c r="D8" s="40">
        <f>-'1.3i'!D10</f>
        <v>0</v>
      </c>
      <c r="E8" s="40">
        <f>+'1.3i'!E10</f>
        <v>0</v>
      </c>
      <c r="F8" s="40">
        <f>+'1.3i'!F10</f>
        <v>0</v>
      </c>
      <c r="G8" s="40">
        <f>+'1.3i'!G10</f>
        <v>0</v>
      </c>
      <c r="H8" s="40">
        <f>+'1.3i'!H10</f>
        <v>0</v>
      </c>
      <c r="J8" s="150"/>
    </row>
    <row r="9" spans="1:10" s="3" customFormat="1" ht="18.75" customHeight="1">
      <c r="A9" s="253" t="s">
        <v>6</v>
      </c>
      <c r="B9" s="33"/>
      <c r="C9" s="33"/>
      <c r="D9" s="33"/>
      <c r="E9" s="33"/>
      <c r="F9" s="33"/>
      <c r="G9" s="33"/>
      <c r="H9" s="33"/>
      <c r="J9" s="150"/>
    </row>
    <row r="10" spans="1:10" s="3" customFormat="1" ht="18.75" customHeight="1">
      <c r="A10" s="4" t="s">
        <v>7</v>
      </c>
      <c r="B10" s="8"/>
      <c r="C10" s="8">
        <f aca="true" t="shared" si="0" ref="C10:H10">SUM(C4:C9)</f>
        <v>1213.316266533084</v>
      </c>
      <c r="D10" s="8">
        <f t="shared" si="0"/>
        <v>1369.845413011217</v>
      </c>
      <c r="E10" s="8">
        <f t="shared" si="0"/>
        <v>1560.4171835430086</v>
      </c>
      <c r="F10" s="8">
        <f t="shared" si="0"/>
        <v>1845.609942973526</v>
      </c>
      <c r="G10" s="8">
        <f t="shared" si="0"/>
        <v>2222.3460273841756</v>
      </c>
      <c r="H10" s="8">
        <f t="shared" si="0"/>
        <v>2668.8145501951576</v>
      </c>
      <c r="J10" s="150"/>
    </row>
    <row r="11" spans="1:10" s="3" customFormat="1" ht="18.75" customHeight="1">
      <c r="A11" s="253" t="s">
        <v>8</v>
      </c>
      <c r="B11" s="33"/>
      <c r="C11" s="40">
        <f>+'1.1c(CWIP)'!C13</f>
        <v>111.45</v>
      </c>
      <c r="D11" s="40">
        <f>+'1.1c(CWIP)'!D13</f>
        <v>127.32</v>
      </c>
      <c r="E11" s="40">
        <f>+'1.1c(CWIP)'!E13</f>
        <v>164.23</v>
      </c>
      <c r="F11" s="40">
        <f>+'1.1c(CWIP)'!F13</f>
        <v>183.25</v>
      </c>
      <c r="G11" s="40">
        <f>+'1.1c(CWIP)'!G13</f>
        <v>202.22</v>
      </c>
      <c r="H11" s="40">
        <f>+'1.1c(CWIP)'!H13</f>
        <v>216.75</v>
      </c>
      <c r="J11" s="150"/>
    </row>
    <row r="12" spans="1:10" s="3" customFormat="1" ht="18.75" customHeight="1">
      <c r="A12" s="253" t="s">
        <v>624</v>
      </c>
      <c r="B12" s="33"/>
      <c r="C12" s="40"/>
      <c r="D12" s="40"/>
      <c r="E12" s="40"/>
      <c r="F12" s="40"/>
      <c r="G12" s="40"/>
      <c r="H12" s="40"/>
      <c r="J12" s="150"/>
    </row>
    <row r="13" spans="1:10" s="3" customFormat="1" ht="18.75" customHeight="1">
      <c r="A13" s="4" t="s">
        <v>9</v>
      </c>
      <c r="B13" s="8"/>
      <c r="C13" s="8">
        <f aca="true" t="shared" si="1" ref="C13:H13">+C10-C11-C12</f>
        <v>1101.866266533084</v>
      </c>
      <c r="D13" s="8">
        <f t="shared" si="1"/>
        <v>1242.525413011217</v>
      </c>
      <c r="E13" s="8">
        <f t="shared" si="1"/>
        <v>1396.1871835430086</v>
      </c>
      <c r="F13" s="8">
        <f t="shared" si="1"/>
        <v>1662.359942973526</v>
      </c>
      <c r="G13" s="8">
        <f t="shared" si="1"/>
        <v>2020.1260273841756</v>
      </c>
      <c r="H13" s="8">
        <f t="shared" si="1"/>
        <v>2452.0645501951576</v>
      </c>
      <c r="J13" s="150"/>
    </row>
    <row r="14" spans="1:10" s="3" customFormat="1" ht="18.75" customHeight="1">
      <c r="A14" s="253" t="s">
        <v>10</v>
      </c>
      <c r="B14" s="33"/>
      <c r="C14" s="40">
        <f>+'1a(RRB)'!C18*1b!C11</f>
        <v>721.102339706948</v>
      </c>
      <c r="D14" s="40">
        <f>+'1a(RRB)'!D18*1b!D11</f>
        <v>796.7208032890165</v>
      </c>
      <c r="E14" s="40">
        <f>+'1a(RRB)'!E18*1b!E11</f>
        <v>949.0306341523404</v>
      </c>
      <c r="F14" s="40">
        <f>+'1a(RRB)'!F18*1b!F11</f>
        <v>1214.815344805066</v>
      </c>
      <c r="G14" s="40">
        <f>+'1a(RRB)'!G18*1b!G11</f>
        <v>1583.164633765494</v>
      </c>
      <c r="H14" s="40">
        <f>+'1a(RRB)'!H18*1b!H11</f>
        <v>1945.2869143854327</v>
      </c>
      <c r="J14" s="150"/>
    </row>
    <row r="15" spans="1:10" s="3" customFormat="1" ht="18.75" customHeight="1">
      <c r="A15" s="254" t="s">
        <v>408</v>
      </c>
      <c r="B15" s="33"/>
      <c r="C15" s="40">
        <f>'10 (NTI)'!C17</f>
        <v>95.89</v>
      </c>
      <c r="D15" s="40">
        <f>'10 (NTI)'!D17</f>
        <v>100.88</v>
      </c>
      <c r="E15" s="40">
        <f>'10 (NTI)'!E17</f>
        <v>105.71000000000001</v>
      </c>
      <c r="F15" s="40">
        <f>'10 (NTI)'!F17</f>
        <v>110.91999999999999</v>
      </c>
      <c r="G15" s="40">
        <f>'10 (NTI)'!G17</f>
        <v>116.53999999999999</v>
      </c>
      <c r="H15" s="40">
        <f>'10 (NTI)'!H17</f>
        <v>123.6</v>
      </c>
      <c r="J15" s="150"/>
    </row>
    <row r="16" spans="1:10" s="3" customFormat="1" ht="18.75" customHeight="1">
      <c r="A16" s="254" t="s">
        <v>638</v>
      </c>
      <c r="B16" s="33"/>
      <c r="C16" s="40"/>
      <c r="D16" s="40">
        <v>265</v>
      </c>
      <c r="E16" s="40">
        <v>141</v>
      </c>
      <c r="F16" s="40">
        <v>138</v>
      </c>
      <c r="G16" s="40">
        <v>134</v>
      </c>
      <c r="H16" s="40">
        <v>131</v>
      </c>
      <c r="J16" s="150"/>
    </row>
    <row r="17" spans="1:10" s="3" customFormat="1" ht="24.75" customHeight="1">
      <c r="A17" s="6" t="s">
        <v>11</v>
      </c>
      <c r="B17" s="8"/>
      <c r="C17" s="122">
        <f aca="true" t="shared" si="2" ref="C17:H17">+C13+C14-C15-C16</f>
        <v>1727.0786062400318</v>
      </c>
      <c r="D17" s="122">
        <f t="shared" si="2"/>
        <v>1673.3662163002336</v>
      </c>
      <c r="E17" s="122">
        <f t="shared" si="2"/>
        <v>2098.507817695349</v>
      </c>
      <c r="F17" s="122">
        <f t="shared" si="2"/>
        <v>2628.255287778592</v>
      </c>
      <c r="G17" s="122">
        <f t="shared" si="2"/>
        <v>3352.7506611496697</v>
      </c>
      <c r="H17" s="122">
        <f t="shared" si="2"/>
        <v>4142.7514645805895</v>
      </c>
      <c r="J17" s="150"/>
    </row>
    <row r="18" ht="12.75">
      <c r="A18" s="237"/>
    </row>
    <row r="19" spans="1:8" ht="12.75" hidden="1">
      <c r="A19" s="1"/>
      <c r="D19">
        <v>21239</v>
      </c>
      <c r="E19">
        <v>24125</v>
      </c>
      <c r="F19">
        <v>25545</v>
      </c>
      <c r="G19">
        <v>26668</v>
      </c>
      <c r="H19">
        <v>27775</v>
      </c>
    </row>
    <row r="20" ht="12.75" hidden="1">
      <c r="A20" s="1"/>
    </row>
    <row r="21" spans="1:8" ht="12.75" hidden="1">
      <c r="A21" s="1"/>
      <c r="C21" s="20"/>
      <c r="D21" s="20">
        <f>+D17/D19/12*10000</f>
        <v>65.65619129511094</v>
      </c>
      <c r="E21" s="20">
        <f>+E17/E19/12*10000</f>
        <v>72.48731667341447</v>
      </c>
      <c r="F21" s="20">
        <f>+F17/F19/12*10000</f>
        <v>85.73939087161844</v>
      </c>
      <c r="G21" s="20">
        <f>+G17/G19/12*10000</f>
        <v>104.76821974993966</v>
      </c>
      <c r="H21" s="20">
        <f>+H17/H19/12*10000</f>
        <v>124.29497343476115</v>
      </c>
    </row>
    <row r="22" ht="12.75" hidden="1">
      <c r="A22" s="1"/>
    </row>
    <row r="23" spans="1:8" ht="12.75" hidden="1">
      <c r="A23" s="1"/>
      <c r="C23" s="20">
        <f aca="true" t="shared" si="3" ref="C23:H23">+C4-C11</f>
        <v>502.86982554358275</v>
      </c>
      <c r="D23" s="20">
        <f t="shared" si="3"/>
        <v>578.8314401066502</v>
      </c>
      <c r="E23" s="20">
        <f t="shared" si="3"/>
        <v>645.6416326920794</v>
      </c>
      <c r="F23" s="20">
        <f t="shared" si="3"/>
        <v>735.7027115650757</v>
      </c>
      <c r="G23" s="20">
        <f t="shared" si="3"/>
        <v>836.3667703204401</v>
      </c>
      <c r="H23" s="20">
        <f t="shared" si="3"/>
        <v>944.2553853491113</v>
      </c>
    </row>
    <row r="24" ht="17.25" customHeight="1" hidden="1">
      <c r="A24" s="2" t="s">
        <v>12</v>
      </c>
    </row>
    <row r="25" ht="17.25" customHeight="1" hidden="1"/>
    <row r="26" spans="3:8" ht="12.75" hidden="1">
      <c r="C26" s="20"/>
      <c r="D26" s="20"/>
      <c r="E26" s="20"/>
      <c r="F26" s="20"/>
      <c r="G26" s="20"/>
      <c r="H26" s="20"/>
    </row>
    <row r="27" ht="12.75" hidden="1"/>
    <row r="28" ht="12.75" hidden="1">
      <c r="B28" s="20"/>
    </row>
    <row r="36" ht="12.75">
      <c r="C36" s="20"/>
    </row>
  </sheetData>
  <sheetProtection/>
  <printOptions horizontalCentered="1"/>
  <pageMargins left="0.17" right="0.22" top="1" bottom="1" header="0.5" footer="0.5"/>
  <pageSetup horizontalDpi="600" verticalDpi="600" orientation="landscape" scale="85" r:id="rId1"/>
</worksheet>
</file>

<file path=xl/worksheets/sheet30.xml><?xml version="1.0" encoding="utf-8"?>
<worksheet xmlns="http://schemas.openxmlformats.org/spreadsheetml/2006/main" xmlns:r="http://schemas.openxmlformats.org/officeDocument/2006/relationships">
  <dimension ref="A1:I22"/>
  <sheetViews>
    <sheetView zoomScalePageLayoutView="0" workbookViewId="0" topLeftCell="A4">
      <selection activeCell="N11" sqref="N11"/>
    </sheetView>
  </sheetViews>
  <sheetFormatPr defaultColWidth="9.140625" defaultRowHeight="12.75"/>
  <cols>
    <col min="1" max="1" width="43.00390625" style="0" customWidth="1"/>
    <col min="2" max="2" width="6.7109375" style="0" bestFit="1" customWidth="1"/>
    <col min="3" max="3" width="11.28125" style="0" bestFit="1" customWidth="1"/>
    <col min="4" max="4" width="10.57421875" style="0" bestFit="1" customWidth="1"/>
    <col min="5" max="5" width="12.7109375" style="0" bestFit="1" customWidth="1"/>
    <col min="6" max="8" width="10.57421875" style="0" bestFit="1" customWidth="1"/>
  </cols>
  <sheetData>
    <row r="1" ht="12.75">
      <c r="A1" s="43" t="s">
        <v>130</v>
      </c>
    </row>
    <row r="2" ht="12.75">
      <c r="A2" s="44" t="s">
        <v>131</v>
      </c>
    </row>
    <row r="3" ht="12.75">
      <c r="A3" s="28"/>
    </row>
    <row r="4" spans="1:5" ht="12.75">
      <c r="A4" s="1"/>
      <c r="E4" t="s">
        <v>375</v>
      </c>
    </row>
    <row r="5" spans="1:8" ht="26.25" customHeight="1">
      <c r="A5" s="248" t="s">
        <v>0</v>
      </c>
      <c r="B5" s="248" t="s">
        <v>13</v>
      </c>
      <c r="C5" s="251" t="s">
        <v>644</v>
      </c>
      <c r="D5" s="252" t="s">
        <v>481</v>
      </c>
      <c r="E5" s="252" t="s">
        <v>482</v>
      </c>
      <c r="F5" s="252" t="s">
        <v>483</v>
      </c>
      <c r="G5" s="252" t="s">
        <v>484</v>
      </c>
      <c r="H5" s="252" t="s">
        <v>485</v>
      </c>
    </row>
    <row r="6" spans="1:8" ht="16.5" customHeight="1">
      <c r="A6" s="45" t="s">
        <v>381</v>
      </c>
      <c r="B6" s="7"/>
      <c r="C6" s="84">
        <v>0.75</v>
      </c>
      <c r="D6" s="84">
        <v>0.77</v>
      </c>
      <c r="E6" s="84">
        <v>0.79</v>
      </c>
      <c r="F6" s="84">
        <v>0.82</v>
      </c>
      <c r="G6" s="84">
        <v>0.85</v>
      </c>
      <c r="H6" s="84">
        <v>0.87</v>
      </c>
    </row>
    <row r="7" spans="1:8" ht="16.5" customHeight="1">
      <c r="A7" s="45" t="s">
        <v>382</v>
      </c>
      <c r="B7" s="7"/>
      <c r="C7" s="84">
        <v>0.03</v>
      </c>
      <c r="D7" s="84">
        <v>0.03</v>
      </c>
      <c r="E7" s="84">
        <v>0.03</v>
      </c>
      <c r="F7" s="84">
        <v>0.03</v>
      </c>
      <c r="G7" s="84">
        <v>0.03</v>
      </c>
      <c r="H7" s="84">
        <v>0.03</v>
      </c>
    </row>
    <row r="8" spans="1:8" ht="16.5" customHeight="1">
      <c r="A8" s="45" t="s">
        <v>383</v>
      </c>
      <c r="B8" s="7"/>
      <c r="C8" s="84">
        <v>0</v>
      </c>
      <c r="D8" s="84">
        <v>0</v>
      </c>
      <c r="E8" s="84">
        <v>0</v>
      </c>
      <c r="F8" s="84">
        <v>0</v>
      </c>
      <c r="G8" s="84">
        <v>0</v>
      </c>
      <c r="H8" s="84">
        <v>0</v>
      </c>
    </row>
    <row r="9" spans="1:8" ht="16.5" customHeight="1">
      <c r="A9" s="45" t="s">
        <v>384</v>
      </c>
      <c r="B9" s="7"/>
      <c r="C9" s="84">
        <v>4.95</v>
      </c>
      <c r="D9" s="84">
        <f>+C9+0.1</f>
        <v>5.05</v>
      </c>
      <c r="E9" s="84">
        <f>+D9+0.1</f>
        <v>5.1499999999999995</v>
      </c>
      <c r="F9" s="84">
        <f>+E9+0.1</f>
        <v>5.249999999999999</v>
      </c>
      <c r="G9" s="84">
        <f>+F9+0.1</f>
        <v>5.349999999999999</v>
      </c>
      <c r="H9" s="84">
        <f>+G9+0.1</f>
        <v>5.449999999999998</v>
      </c>
    </row>
    <row r="10" spans="1:8" ht="16.5" customHeight="1">
      <c r="A10" s="45" t="s">
        <v>385</v>
      </c>
      <c r="B10" s="7"/>
      <c r="C10" s="84">
        <v>0</v>
      </c>
      <c r="D10" s="84">
        <v>0</v>
      </c>
      <c r="E10" s="84">
        <v>0</v>
      </c>
      <c r="F10" s="84">
        <v>0</v>
      </c>
      <c r="G10" s="84">
        <v>0</v>
      </c>
      <c r="H10" s="84">
        <v>0</v>
      </c>
    </row>
    <row r="11" spans="1:8" ht="16.5" customHeight="1">
      <c r="A11" s="45" t="s">
        <v>386</v>
      </c>
      <c r="B11" s="7"/>
      <c r="C11" s="84">
        <v>0</v>
      </c>
      <c r="D11" s="84">
        <v>0</v>
      </c>
      <c r="E11" s="84">
        <v>0</v>
      </c>
      <c r="F11" s="84">
        <v>0</v>
      </c>
      <c r="G11" s="84">
        <v>0</v>
      </c>
      <c r="H11" s="84">
        <v>0</v>
      </c>
    </row>
    <row r="12" spans="1:8" ht="16.5" customHeight="1">
      <c r="A12" s="45" t="s">
        <v>387</v>
      </c>
      <c r="B12" s="7"/>
      <c r="C12" s="84">
        <f>35-1.5</f>
        <v>33.5</v>
      </c>
      <c r="D12" s="84">
        <v>33</v>
      </c>
      <c r="E12" s="84">
        <v>32</v>
      </c>
      <c r="F12" s="84">
        <v>31</v>
      </c>
      <c r="G12" s="84">
        <v>30</v>
      </c>
      <c r="H12" s="84">
        <v>30</v>
      </c>
    </row>
    <row r="13" spans="1:8" ht="21" customHeight="1">
      <c r="A13" s="268"/>
      <c r="B13" s="315"/>
      <c r="C13" s="315">
        <f aca="true" t="shared" si="0" ref="C13:H13">SUM(C6:C12)</f>
        <v>39.230000000000004</v>
      </c>
      <c r="D13" s="315">
        <f t="shared" si="0"/>
        <v>38.85</v>
      </c>
      <c r="E13" s="315">
        <f t="shared" si="0"/>
        <v>37.97</v>
      </c>
      <c r="F13" s="315">
        <f t="shared" si="0"/>
        <v>37.1</v>
      </c>
      <c r="G13" s="315">
        <f t="shared" si="0"/>
        <v>36.23</v>
      </c>
      <c r="H13" s="315">
        <f t="shared" si="0"/>
        <v>36.35</v>
      </c>
    </row>
    <row r="14" spans="1:8" ht="16.5" customHeight="1">
      <c r="A14" s="163" t="s">
        <v>497</v>
      </c>
      <c r="B14" s="7"/>
      <c r="C14" s="296">
        <v>33.73</v>
      </c>
      <c r="D14" s="296">
        <v>37.1</v>
      </c>
      <c r="E14" s="296">
        <v>40.81</v>
      </c>
      <c r="F14" s="296">
        <v>44.89</v>
      </c>
      <c r="G14" s="296">
        <v>49.38</v>
      </c>
      <c r="H14" s="296">
        <v>54.32</v>
      </c>
    </row>
    <row r="15" spans="1:9" ht="16.5" customHeight="1">
      <c r="A15" s="163" t="s">
        <v>499</v>
      </c>
      <c r="B15" s="7"/>
      <c r="C15" s="296">
        <v>22.93</v>
      </c>
      <c r="D15" s="296">
        <f>C15+2</f>
        <v>24.93</v>
      </c>
      <c r="E15" s="296">
        <f>D15+2</f>
        <v>26.93</v>
      </c>
      <c r="F15" s="296">
        <f>E15+2</f>
        <v>28.93</v>
      </c>
      <c r="G15" s="296">
        <f>F15+2</f>
        <v>30.93</v>
      </c>
      <c r="H15" s="296">
        <f>G15+2</f>
        <v>32.93</v>
      </c>
      <c r="I15" s="3"/>
    </row>
    <row r="16" spans="1:8" ht="12.75">
      <c r="A16" s="33" t="s">
        <v>69</v>
      </c>
      <c r="B16" s="7"/>
      <c r="C16" s="8">
        <f aca="true" t="shared" si="1" ref="C16:H16">SUM(C14:C15)</f>
        <v>56.66</v>
      </c>
      <c r="D16" s="8">
        <f t="shared" si="1"/>
        <v>62.03</v>
      </c>
      <c r="E16" s="8">
        <f t="shared" si="1"/>
        <v>67.74000000000001</v>
      </c>
      <c r="F16" s="8">
        <f t="shared" si="1"/>
        <v>73.82</v>
      </c>
      <c r="G16" s="8">
        <f t="shared" si="1"/>
        <v>80.31</v>
      </c>
      <c r="H16" s="8">
        <f t="shared" si="1"/>
        <v>87.25</v>
      </c>
    </row>
    <row r="17" spans="1:8" ht="12.75">
      <c r="A17" s="164" t="s">
        <v>498</v>
      </c>
      <c r="B17" s="7"/>
      <c r="C17" s="8">
        <f aca="true" t="shared" si="2" ref="C17:H17">C13+C16</f>
        <v>95.89</v>
      </c>
      <c r="D17" s="8">
        <f t="shared" si="2"/>
        <v>100.88</v>
      </c>
      <c r="E17" s="8">
        <f t="shared" si="2"/>
        <v>105.71000000000001</v>
      </c>
      <c r="F17" s="8">
        <f t="shared" si="2"/>
        <v>110.91999999999999</v>
      </c>
      <c r="G17" s="8">
        <f t="shared" si="2"/>
        <v>116.53999999999999</v>
      </c>
      <c r="H17" s="8">
        <f t="shared" si="2"/>
        <v>123.6</v>
      </c>
    </row>
    <row r="22" ht="12.75">
      <c r="A22">
        <v>22</v>
      </c>
    </row>
  </sheetData>
  <sheetProtection/>
  <dataValidations count="1">
    <dataValidation type="decimal" allowBlank="1" showInputMessage="1" showErrorMessage="1" error="Enter in number format only" sqref="B5">
      <formula1>-1000000000000000</formula1>
      <formula2>100000000000000000</formula2>
    </dataValidation>
  </dataValidations>
  <printOptions horizontalCentered="1"/>
  <pageMargins left="0.27" right="0.34"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C4:J10"/>
  <sheetViews>
    <sheetView zoomScalePageLayoutView="0" workbookViewId="0" topLeftCell="A1">
      <selection activeCell="J7" sqref="J7"/>
    </sheetView>
  </sheetViews>
  <sheetFormatPr defaultColWidth="9.140625" defaultRowHeight="12.75"/>
  <cols>
    <col min="3" max="3" width="12.140625" style="0" bestFit="1" customWidth="1"/>
    <col min="4" max="5" width="9.28125" style="0" bestFit="1" customWidth="1"/>
    <col min="6" max="10" width="9.57421875" style="0" bestFit="1" customWidth="1"/>
  </cols>
  <sheetData>
    <row r="4" spans="4:10" ht="12.75">
      <c r="D4" s="15" t="s">
        <v>22</v>
      </c>
      <c r="E4" s="15" t="s">
        <v>23</v>
      </c>
      <c r="F4" s="15" t="s">
        <v>476</v>
      </c>
      <c r="G4" s="15" t="s">
        <v>477</v>
      </c>
      <c r="H4" s="15" t="s">
        <v>478</v>
      </c>
      <c r="I4" s="15" t="s">
        <v>479</v>
      </c>
      <c r="J4">
        <v>2023.24</v>
      </c>
    </row>
    <row r="5" spans="3:10" ht="12.75">
      <c r="C5" s="15" t="s">
        <v>520</v>
      </c>
      <c r="D5" s="20"/>
      <c r="E5" s="20"/>
      <c r="F5" s="20"/>
      <c r="G5" s="20"/>
      <c r="H5" s="20"/>
      <c r="I5" s="20"/>
      <c r="J5" s="20"/>
    </row>
    <row r="6" spans="3:10" ht="12.75">
      <c r="C6" s="15" t="s">
        <v>336</v>
      </c>
      <c r="D6" s="20"/>
      <c r="E6" s="20">
        <v>200.86</v>
      </c>
      <c r="F6" s="20">
        <v>304.5</v>
      </c>
      <c r="G6" s="20">
        <v>454.69</v>
      </c>
      <c r="H6" s="20">
        <v>340.15</v>
      </c>
      <c r="I6" s="20">
        <v>225.65</v>
      </c>
      <c r="J6" s="20">
        <v>222.41</v>
      </c>
    </row>
    <row r="7" spans="3:10" ht="12.75">
      <c r="C7" t="s">
        <v>620</v>
      </c>
      <c r="D7" s="20"/>
      <c r="E7" s="20"/>
      <c r="F7" s="20"/>
      <c r="G7" s="20"/>
      <c r="H7" s="20"/>
      <c r="I7" s="20"/>
      <c r="J7" s="20"/>
    </row>
    <row r="9" spans="3:10" ht="12.75">
      <c r="C9" s="15"/>
      <c r="D9" s="20"/>
      <c r="E9" s="20"/>
      <c r="F9" s="20"/>
      <c r="G9" s="20"/>
      <c r="H9" s="20"/>
      <c r="I9" s="20"/>
      <c r="J9" s="20"/>
    </row>
    <row r="10" ht="12.75">
      <c r="C10" s="15"/>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I64"/>
  <sheetViews>
    <sheetView zoomScalePageLayoutView="0" workbookViewId="0" topLeftCell="A43">
      <selection activeCell="X47" sqref="X47"/>
    </sheetView>
  </sheetViews>
  <sheetFormatPr defaultColWidth="9.140625" defaultRowHeight="12.75"/>
  <cols>
    <col min="1" max="1" width="5.00390625" style="176" customWidth="1"/>
    <col min="2" max="2" width="46.7109375" style="176" customWidth="1"/>
    <col min="3" max="3" width="11.57421875" style="176" hidden="1" customWidth="1"/>
    <col min="4" max="4" width="11.8515625" style="176" hidden="1" customWidth="1"/>
    <col min="5" max="5" width="11.7109375" style="176" hidden="1" customWidth="1"/>
    <col min="6" max="6" width="12.00390625" style="176" hidden="1" customWidth="1"/>
    <col min="7" max="7" width="11.7109375" style="176" hidden="1" customWidth="1"/>
    <col min="8" max="8" width="11.57421875" style="176" hidden="1" customWidth="1"/>
    <col min="9" max="9" width="11.421875" style="176" hidden="1" customWidth="1"/>
    <col min="10" max="11" width="10.7109375" style="176" hidden="1" customWidth="1"/>
    <col min="12" max="12" width="11.28125" style="176" hidden="1" customWidth="1"/>
    <col min="13" max="16" width="11.57421875" style="176" hidden="1" customWidth="1"/>
    <col min="17" max="17" width="12.8515625" style="176" hidden="1" customWidth="1"/>
    <col min="18" max="18" width="12.8515625" style="176" customWidth="1"/>
    <col min="19" max="20" width="11.140625" style="176" customWidth="1"/>
    <col min="21" max="22" width="12.140625" style="176" customWidth="1"/>
    <col min="23" max="28" width="10.28125" style="176" bestFit="1" customWidth="1"/>
    <col min="29" max="16384" width="9.140625" style="176" customWidth="1"/>
  </cols>
  <sheetData>
    <row r="1" spans="1:22" ht="15">
      <c r="A1" s="437" t="s">
        <v>521</v>
      </c>
      <c r="B1" s="437"/>
      <c r="C1" s="437"/>
      <c r="D1" s="437"/>
      <c r="E1" s="437"/>
      <c r="F1" s="437"/>
      <c r="G1" s="437"/>
      <c r="H1" s="437"/>
      <c r="I1" s="437"/>
      <c r="J1" s="437"/>
      <c r="K1" s="437"/>
      <c r="L1" s="437"/>
      <c r="M1" s="437"/>
      <c r="N1" s="437"/>
      <c r="O1" s="437"/>
      <c r="P1" s="437"/>
      <c r="Q1" s="437"/>
      <c r="R1" s="437"/>
      <c r="S1" s="437"/>
      <c r="T1" s="437"/>
      <c r="U1" s="437"/>
      <c r="V1" s="175"/>
    </row>
    <row r="2" spans="1:22" ht="18" customHeight="1">
      <c r="A2" s="438" t="s">
        <v>522</v>
      </c>
      <c r="B2" s="438"/>
      <c r="C2" s="438"/>
      <c r="D2" s="438"/>
      <c r="E2" s="438"/>
      <c r="F2" s="438"/>
      <c r="G2" s="438"/>
      <c r="H2" s="438"/>
      <c r="I2" s="438"/>
      <c r="J2" s="438"/>
      <c r="K2" s="438"/>
      <c r="L2" s="438"/>
      <c r="M2" s="438"/>
      <c r="N2" s="438"/>
      <c r="O2" s="438"/>
      <c r="P2" s="438"/>
      <c r="Q2" s="438"/>
      <c r="R2" s="438"/>
      <c r="S2" s="438"/>
      <c r="T2" s="438"/>
      <c r="U2" s="438"/>
      <c r="V2" s="177"/>
    </row>
    <row r="3" spans="1:22" ht="15.75" customHeight="1">
      <c r="A3" s="178"/>
      <c r="B3" s="179"/>
      <c r="C3" s="179"/>
      <c r="D3" s="179"/>
      <c r="E3" s="179"/>
      <c r="F3" s="179"/>
      <c r="G3" s="179"/>
      <c r="H3" s="179"/>
      <c r="I3" s="179"/>
      <c r="J3" s="179"/>
      <c r="K3" s="179"/>
      <c r="L3" s="179"/>
      <c r="M3" s="179"/>
      <c r="N3" s="179"/>
      <c r="O3" s="179"/>
      <c r="P3" s="179"/>
      <c r="Q3" s="179"/>
      <c r="R3" s="179"/>
      <c r="S3" s="179"/>
      <c r="T3" s="179"/>
      <c r="U3" s="179"/>
      <c r="V3" s="179"/>
    </row>
    <row r="4" spans="2:35" ht="15">
      <c r="B4" s="180"/>
      <c r="C4" s="180"/>
      <c r="D4" s="180"/>
      <c r="E4" s="180"/>
      <c r="F4" s="180"/>
      <c r="G4" s="180"/>
      <c r="H4" s="180"/>
      <c r="I4" s="180"/>
      <c r="J4" s="180"/>
      <c r="K4" s="180"/>
      <c r="L4" s="180"/>
      <c r="M4" s="180"/>
      <c r="N4" s="180"/>
      <c r="O4" s="180"/>
      <c r="P4" s="180"/>
      <c r="Q4" s="180"/>
      <c r="R4" s="180"/>
      <c r="S4" s="180"/>
      <c r="T4" s="180"/>
      <c r="U4" s="180" t="s">
        <v>523</v>
      </c>
      <c r="V4" s="180" t="s">
        <v>523</v>
      </c>
      <c r="W4" s="181"/>
      <c r="X4" s="181"/>
      <c r="Y4" s="181"/>
      <c r="Z4" s="181"/>
      <c r="AA4" s="181"/>
      <c r="AB4" s="181"/>
      <c r="AC4" s="181"/>
      <c r="AD4" s="181"/>
      <c r="AE4" s="181"/>
      <c r="AF4" s="181"/>
      <c r="AG4" s="181"/>
      <c r="AH4" s="181"/>
      <c r="AI4" s="181"/>
    </row>
    <row r="5" spans="1:28" ht="34.5" customHeight="1">
      <c r="A5" s="182" t="s">
        <v>524</v>
      </c>
      <c r="B5" s="183" t="s">
        <v>525</v>
      </c>
      <c r="C5" s="183" t="s">
        <v>526</v>
      </c>
      <c r="D5" s="183" t="s">
        <v>527</v>
      </c>
      <c r="E5" s="183" t="s">
        <v>528</v>
      </c>
      <c r="F5" s="183" t="s">
        <v>529</v>
      </c>
      <c r="G5" s="183" t="s">
        <v>530</v>
      </c>
      <c r="H5" s="183" t="s">
        <v>531</v>
      </c>
      <c r="I5" s="183" t="s">
        <v>532</v>
      </c>
      <c r="J5" s="183" t="s">
        <v>533</v>
      </c>
      <c r="K5" s="183" t="s">
        <v>534</v>
      </c>
      <c r="L5" s="183" t="s">
        <v>535</v>
      </c>
      <c r="M5" s="183" t="s">
        <v>14</v>
      </c>
      <c r="N5" s="183" t="s">
        <v>15</v>
      </c>
      <c r="O5" s="183" t="s">
        <v>108</v>
      </c>
      <c r="P5" s="183" t="s">
        <v>16</v>
      </c>
      <c r="Q5" s="183" t="s">
        <v>17</v>
      </c>
      <c r="R5" s="183" t="s">
        <v>18</v>
      </c>
      <c r="S5" s="183" t="s">
        <v>19</v>
      </c>
      <c r="T5" s="183" t="s">
        <v>20</v>
      </c>
      <c r="U5" s="183" t="s">
        <v>21</v>
      </c>
      <c r="V5" s="183" t="s">
        <v>22</v>
      </c>
      <c r="W5" s="183" t="s">
        <v>23</v>
      </c>
      <c r="X5" s="183" t="s">
        <v>476</v>
      </c>
      <c r="Y5" s="183" t="s">
        <v>477</v>
      </c>
      <c r="Z5" s="183" t="s">
        <v>478</v>
      </c>
      <c r="AA5" s="183" t="s">
        <v>479</v>
      </c>
      <c r="AB5" s="183" t="s">
        <v>480</v>
      </c>
    </row>
    <row r="6" spans="1:28" ht="15">
      <c r="A6" s="184" t="s">
        <v>536</v>
      </c>
      <c r="B6" s="185" t="s">
        <v>537</v>
      </c>
      <c r="C6" s="186">
        <v>540.56</v>
      </c>
      <c r="D6" s="186">
        <v>700</v>
      </c>
      <c r="E6" s="186">
        <v>1434.34</v>
      </c>
      <c r="F6" s="186">
        <v>1448.75</v>
      </c>
      <c r="G6" s="186">
        <v>1448.75</v>
      </c>
      <c r="H6" s="187">
        <f>1448.75+627.48</f>
        <v>2076.23</v>
      </c>
      <c r="I6" s="186">
        <v>2076.44</v>
      </c>
      <c r="J6" s="188">
        <v>779.22</v>
      </c>
      <c r="K6" s="187">
        <v>779.22</v>
      </c>
      <c r="L6" s="187">
        <v>779.22</v>
      </c>
      <c r="M6" s="187">
        <v>779.22</v>
      </c>
      <c r="N6" s="187">
        <v>779.22</v>
      </c>
      <c r="O6" s="187">
        <v>779.22</v>
      </c>
      <c r="P6" s="187">
        <v>779.22</v>
      </c>
      <c r="Q6" s="187">
        <v>779.22</v>
      </c>
      <c r="R6" s="187">
        <v>779.22</v>
      </c>
      <c r="S6" s="187">
        <v>454.44</v>
      </c>
      <c r="T6" s="187">
        <v>454.44</v>
      </c>
      <c r="U6" s="189">
        <v>454.44</v>
      </c>
      <c r="V6" s="189">
        <v>454.44</v>
      </c>
      <c r="W6" s="185">
        <f>'1.1(i) (BS)'!C24</f>
        <v>454.44</v>
      </c>
      <c r="X6" s="185">
        <f>'1.1(i) (BS)'!D24</f>
        <v>454.44</v>
      </c>
      <c r="Y6" s="185">
        <f>'1.1(i) (BS)'!E24</f>
        <v>454.44</v>
      </c>
      <c r="Z6" s="185">
        <f>'1.1(i) (BS)'!F24</f>
        <v>454.44</v>
      </c>
      <c r="AA6" s="185">
        <f>'1.1(i) (BS)'!G24</f>
        <v>454.44</v>
      </c>
      <c r="AB6" s="185">
        <f>'1.1(i) (BS)'!H24</f>
        <v>454.44</v>
      </c>
    </row>
    <row r="7" spans="1:28" ht="15">
      <c r="A7" s="184" t="s">
        <v>538</v>
      </c>
      <c r="B7" s="190" t="s">
        <v>539</v>
      </c>
      <c r="C7" s="186">
        <f>32.94+13.41+11.57</f>
        <v>57.919999999999995</v>
      </c>
      <c r="D7" s="186">
        <f>193.4+68.64+13.41+14.41</f>
        <v>289.86000000000007</v>
      </c>
      <c r="E7" s="186">
        <f>14.41+0.62+16.58+13.41</f>
        <v>45.019999999999996</v>
      </c>
      <c r="F7" s="186">
        <f>30.62+72.89+13.41</f>
        <v>116.92</v>
      </c>
      <c r="G7" s="186">
        <f>40.59+77.1+31.97</f>
        <v>149.66</v>
      </c>
      <c r="H7" s="186">
        <f>49.66+66.78+82.35</f>
        <v>198.79</v>
      </c>
      <c r="I7" s="185">
        <f>101.51+93.44+83.89</f>
        <v>278.84</v>
      </c>
      <c r="J7" s="185">
        <f>-119.59+97.88+292.85</f>
        <v>271.14</v>
      </c>
      <c r="K7" s="187">
        <f>60.84+124.96+239.19</f>
        <v>424.99</v>
      </c>
      <c r="L7" s="187">
        <f>60.28+197.72+274.71</f>
        <v>532.71</v>
      </c>
      <c r="M7" s="189">
        <f>66.09+435.42+336.58</f>
        <v>838.0899999999999</v>
      </c>
      <c r="N7" s="189">
        <f>481.68+73.62+406.77</f>
        <v>962.0699999999999</v>
      </c>
      <c r="O7" s="189">
        <f>770.79+73.51+468.51</f>
        <v>1312.81</v>
      </c>
      <c r="P7" s="189">
        <f>1134.44+81.09+728.3</f>
        <v>1943.83</v>
      </c>
      <c r="Q7" s="189">
        <f>1282.64+428.02+1140.32</f>
        <v>2850.98</v>
      </c>
      <c r="R7" s="189">
        <f>1410.06+415.67+809.32</f>
        <v>2635.05</v>
      </c>
      <c r="S7" s="189">
        <f>243.2+326.14+740.54</f>
        <v>1309.8799999999999</v>
      </c>
      <c r="T7" s="189">
        <f>223.35+431.87+876.37</f>
        <v>1531.5900000000001</v>
      </c>
      <c r="U7" s="189">
        <f>2369.87+703.76</f>
        <v>3073.63</v>
      </c>
      <c r="V7" s="189">
        <f>2369.87+703.76</f>
        <v>3073.63</v>
      </c>
      <c r="W7" s="185"/>
      <c r="X7" s="185"/>
      <c r="Y7" s="185"/>
      <c r="Z7" s="185"/>
      <c r="AA7" s="185"/>
      <c r="AB7" s="185"/>
    </row>
    <row r="8" spans="1:28" ht="15">
      <c r="A8" s="184"/>
      <c r="B8" s="190" t="s">
        <v>540</v>
      </c>
      <c r="C8" s="186"/>
      <c r="D8" s="186"/>
      <c r="E8" s="186"/>
      <c r="F8" s="186"/>
      <c r="G8" s="186"/>
      <c r="H8" s="186"/>
      <c r="I8" s="185"/>
      <c r="J8" s="185"/>
      <c r="K8" s="187">
        <v>103.32</v>
      </c>
      <c r="L8" s="187">
        <v>129.12</v>
      </c>
      <c r="M8" s="189">
        <v>167.45</v>
      </c>
      <c r="N8" s="189">
        <v>218.36</v>
      </c>
      <c r="O8" s="189">
        <v>265.33</v>
      </c>
      <c r="P8" s="189">
        <v>314</v>
      </c>
      <c r="Q8" s="189">
        <v>309.56</v>
      </c>
      <c r="R8" s="189">
        <v>140.24</v>
      </c>
      <c r="S8" s="189">
        <v>68.37</v>
      </c>
      <c r="T8" s="189">
        <v>116.88</v>
      </c>
      <c r="U8" s="189">
        <v>112.23</v>
      </c>
      <c r="V8" s="189">
        <v>112.23</v>
      </c>
      <c r="W8" s="185"/>
      <c r="X8" s="185"/>
      <c r="Y8" s="185"/>
      <c r="Z8" s="185"/>
      <c r="AA8" s="185"/>
      <c r="AB8" s="185"/>
    </row>
    <row r="9" spans="1:28" ht="15">
      <c r="A9" s="184" t="s">
        <v>541</v>
      </c>
      <c r="B9" s="185" t="s">
        <v>542</v>
      </c>
      <c r="C9" s="186"/>
      <c r="D9" s="186"/>
      <c r="E9" s="186"/>
      <c r="F9" s="186">
        <v>-176.8</v>
      </c>
      <c r="G9" s="186"/>
      <c r="H9" s="185"/>
      <c r="I9" s="185"/>
      <c r="J9" s="185"/>
      <c r="K9" s="191" t="s">
        <v>543</v>
      </c>
      <c r="L9" s="191" t="s">
        <v>543</v>
      </c>
      <c r="M9" s="191" t="s">
        <v>543</v>
      </c>
      <c r="N9" s="191" t="s">
        <v>543</v>
      </c>
      <c r="O9" s="191" t="s">
        <v>543</v>
      </c>
      <c r="P9" s="191" t="s">
        <v>543</v>
      </c>
      <c r="Q9" s="191" t="s">
        <v>543</v>
      </c>
      <c r="R9" s="191" t="s">
        <v>543</v>
      </c>
      <c r="S9" s="187" t="s">
        <v>544</v>
      </c>
      <c r="T9" s="187" t="s">
        <v>544</v>
      </c>
      <c r="U9" s="189" t="s">
        <v>544</v>
      </c>
      <c r="V9" s="189" t="s">
        <v>544</v>
      </c>
      <c r="W9" s="185"/>
      <c r="X9" s="185"/>
      <c r="Y9" s="185"/>
      <c r="Z9" s="185"/>
      <c r="AA9" s="185"/>
      <c r="AB9" s="185"/>
    </row>
    <row r="10" spans="1:28" ht="15.75">
      <c r="A10" s="184" t="s">
        <v>545</v>
      </c>
      <c r="B10" s="192" t="s">
        <v>546</v>
      </c>
      <c r="C10" s="193">
        <f aca="true" t="shared" si="0" ref="C10:Q10">SUM(C6:C9)</f>
        <v>598.4799999999999</v>
      </c>
      <c r="D10" s="193">
        <f t="shared" si="0"/>
        <v>989.8600000000001</v>
      </c>
      <c r="E10" s="193">
        <f t="shared" si="0"/>
        <v>1479.36</v>
      </c>
      <c r="F10" s="193">
        <f t="shared" si="0"/>
        <v>1388.8700000000001</v>
      </c>
      <c r="G10" s="193">
        <f t="shared" si="0"/>
        <v>1598.41</v>
      </c>
      <c r="H10" s="193">
        <f t="shared" si="0"/>
        <v>2275.02</v>
      </c>
      <c r="I10" s="193">
        <f t="shared" si="0"/>
        <v>2355.28</v>
      </c>
      <c r="J10" s="193">
        <f t="shared" si="0"/>
        <v>1050.3600000000001</v>
      </c>
      <c r="K10" s="194">
        <f t="shared" si="0"/>
        <v>1307.53</v>
      </c>
      <c r="L10" s="194">
        <f t="shared" si="0"/>
        <v>1441.0500000000002</v>
      </c>
      <c r="M10" s="194">
        <f t="shared" si="0"/>
        <v>1784.76</v>
      </c>
      <c r="N10" s="194">
        <f t="shared" si="0"/>
        <v>1959.65</v>
      </c>
      <c r="O10" s="194">
        <f t="shared" si="0"/>
        <v>2357.3599999999997</v>
      </c>
      <c r="P10" s="194">
        <f t="shared" si="0"/>
        <v>3037.05</v>
      </c>
      <c r="Q10" s="194">
        <f t="shared" si="0"/>
        <v>3939.7599999999998</v>
      </c>
      <c r="R10" s="194">
        <f>SUM(R6:R9)</f>
        <v>3554.51</v>
      </c>
      <c r="S10" s="194">
        <f>SUM(S6:S9)</f>
        <v>1832.69</v>
      </c>
      <c r="T10" s="194">
        <f>SUM(T6:T9)</f>
        <v>2102.9100000000003</v>
      </c>
      <c r="U10" s="195">
        <f>SUM(U6:U9)</f>
        <v>3640.3</v>
      </c>
      <c r="V10" s="195">
        <f>SUM(V6:V9)</f>
        <v>3640.3</v>
      </c>
      <c r="W10" s="185"/>
      <c r="X10" s="185"/>
      <c r="Y10" s="185"/>
      <c r="Z10" s="185"/>
      <c r="AA10" s="185"/>
      <c r="AB10" s="185"/>
    </row>
    <row r="11" spans="1:28" ht="15">
      <c r="A11" s="184" t="s">
        <v>547</v>
      </c>
      <c r="B11" s="185" t="s">
        <v>548</v>
      </c>
      <c r="C11" s="186">
        <f>2186.07+397.24+142.88</f>
        <v>2726.1900000000005</v>
      </c>
      <c r="D11" s="186">
        <f>5301.36+1715.38-96.06</f>
        <v>6920.679999999999</v>
      </c>
      <c r="E11" s="186">
        <f>1452.57+332.41-353.99</f>
        <v>1430.99</v>
      </c>
      <c r="F11" s="186">
        <f>1470.46+536.67-392.19</f>
        <v>1614.94</v>
      </c>
      <c r="G11" s="186">
        <f>1926.52+788.76-422.47</f>
        <v>2292.8099999999995</v>
      </c>
      <c r="H11" s="187">
        <f>2371.68+179.3-1.68</f>
        <v>2549.3</v>
      </c>
      <c r="I11" s="196">
        <f>2052.78+52.22-3.46</f>
        <v>2101.54</v>
      </c>
      <c r="J11" s="185">
        <f>1727.06+21.33+0.05-1.16</f>
        <v>1747.2799999999997</v>
      </c>
      <c r="K11" s="187">
        <f>1863.47+37.94-223.32</f>
        <v>1678.0900000000001</v>
      </c>
      <c r="L11" s="187">
        <f>1949.63+24.86-210.61</f>
        <v>1763.88</v>
      </c>
      <c r="M11" s="187">
        <f>1901.4+23.24-M12</f>
        <v>1854.99</v>
      </c>
      <c r="N11" s="187">
        <f>1996.81+188.7-N12</f>
        <v>2144.04</v>
      </c>
      <c r="O11" s="187">
        <f>2268.4+332.62-O12</f>
        <v>2559.55</v>
      </c>
      <c r="P11" s="187">
        <f>2735.31+467.9-P12</f>
        <v>3161.7400000000002</v>
      </c>
      <c r="Q11" s="187">
        <f>2902.4+574.78-Q12</f>
        <v>3477.1800000000003</v>
      </c>
      <c r="R11" s="187">
        <f>2935.75+686.59-R12</f>
        <v>3622.34</v>
      </c>
      <c r="S11" s="185">
        <f>1750.46+10.53-S12</f>
        <v>1760.99</v>
      </c>
      <c r="T11" s="185">
        <f>2995.42+8.39-T12</f>
        <v>3003.81</v>
      </c>
      <c r="U11" s="188">
        <f>5039.82-703.76-112.23-198.71</f>
        <v>4025.12</v>
      </c>
      <c r="V11" s="188">
        <f>5039.82-703.76-112.23-198.71</f>
        <v>4025.12</v>
      </c>
      <c r="W11" s="185"/>
      <c r="X11" s="185"/>
      <c r="Y11" s="185"/>
      <c r="Z11" s="185"/>
      <c r="AA11" s="185"/>
      <c r="AB11" s="185"/>
    </row>
    <row r="12" spans="1:28" ht="15">
      <c r="A12" s="184" t="s">
        <v>549</v>
      </c>
      <c r="B12" s="185" t="s">
        <v>550</v>
      </c>
      <c r="C12" s="186"/>
      <c r="D12" s="186"/>
      <c r="E12" s="186"/>
      <c r="F12" s="186"/>
      <c r="G12" s="186"/>
      <c r="H12" s="187"/>
      <c r="I12" s="196"/>
      <c r="J12" s="185"/>
      <c r="K12" s="187">
        <f>223.32</f>
        <v>223.32</v>
      </c>
      <c r="L12" s="187">
        <f>210.61</f>
        <v>210.61</v>
      </c>
      <c r="M12" s="187">
        <v>69.65</v>
      </c>
      <c r="N12" s="187">
        <v>41.47</v>
      </c>
      <c r="O12" s="187">
        <v>41.47</v>
      </c>
      <c r="P12" s="187">
        <v>41.47</v>
      </c>
      <c r="Q12" s="187">
        <v>0</v>
      </c>
      <c r="R12" s="187">
        <v>0</v>
      </c>
      <c r="S12" s="185">
        <v>0</v>
      </c>
      <c r="T12" s="185">
        <v>0</v>
      </c>
      <c r="U12" s="188">
        <v>0</v>
      </c>
      <c r="V12" s="188">
        <v>0</v>
      </c>
      <c r="W12" s="185"/>
      <c r="X12" s="185"/>
      <c r="Y12" s="185"/>
      <c r="Z12" s="185"/>
      <c r="AA12" s="185"/>
      <c r="AB12" s="185"/>
    </row>
    <row r="13" spans="1:28" ht="15">
      <c r="A13" s="197" t="s">
        <v>551</v>
      </c>
      <c r="B13" s="198" t="s">
        <v>552</v>
      </c>
      <c r="C13" s="186"/>
      <c r="D13" s="186"/>
      <c r="E13" s="186"/>
      <c r="F13" s="186"/>
      <c r="G13" s="186"/>
      <c r="H13" s="187"/>
      <c r="I13" s="196"/>
      <c r="J13" s="185"/>
      <c r="K13" s="187"/>
      <c r="L13" s="187"/>
      <c r="M13" s="187"/>
      <c r="N13" s="187"/>
      <c r="O13" s="187"/>
      <c r="P13" s="187"/>
      <c r="Q13" s="187"/>
      <c r="R13" s="187"/>
      <c r="S13" s="185"/>
      <c r="T13" s="185"/>
      <c r="U13" s="188"/>
      <c r="V13" s="188"/>
      <c r="W13" s="185"/>
      <c r="X13" s="185"/>
      <c r="Y13" s="185"/>
      <c r="Z13" s="185"/>
      <c r="AA13" s="185"/>
      <c r="AB13" s="185"/>
    </row>
    <row r="14" spans="1:28" ht="15.75">
      <c r="A14" s="184" t="s">
        <v>553</v>
      </c>
      <c r="B14" s="192" t="s">
        <v>554</v>
      </c>
      <c r="C14" s="193">
        <f aca="true" t="shared" si="1" ref="C14:J14">SUM(C10:C11)</f>
        <v>3324.6700000000005</v>
      </c>
      <c r="D14" s="193">
        <f t="shared" si="1"/>
        <v>7910.539999999999</v>
      </c>
      <c r="E14" s="193">
        <f t="shared" si="1"/>
        <v>2910.35</v>
      </c>
      <c r="F14" s="193">
        <f t="shared" si="1"/>
        <v>3003.8100000000004</v>
      </c>
      <c r="G14" s="193">
        <f t="shared" si="1"/>
        <v>3891.2199999999993</v>
      </c>
      <c r="H14" s="193">
        <f t="shared" si="1"/>
        <v>4824.32</v>
      </c>
      <c r="I14" s="193">
        <f t="shared" si="1"/>
        <v>4456.82</v>
      </c>
      <c r="J14" s="193">
        <f t="shared" si="1"/>
        <v>2797.64</v>
      </c>
      <c r="K14" s="194">
        <f aca="true" t="shared" si="2" ref="K14:V14">SUM(K10:K13)</f>
        <v>3208.94</v>
      </c>
      <c r="L14" s="194">
        <f t="shared" si="2"/>
        <v>3415.5400000000004</v>
      </c>
      <c r="M14" s="194">
        <f t="shared" si="2"/>
        <v>3709.4</v>
      </c>
      <c r="N14" s="194">
        <f t="shared" si="2"/>
        <v>4145.160000000001</v>
      </c>
      <c r="O14" s="194">
        <f t="shared" si="2"/>
        <v>4958.38</v>
      </c>
      <c r="P14" s="194">
        <f t="shared" si="2"/>
        <v>6240.260000000001</v>
      </c>
      <c r="Q14" s="194">
        <f t="shared" si="2"/>
        <v>7416.9400000000005</v>
      </c>
      <c r="R14" s="194">
        <f t="shared" si="2"/>
        <v>7176.85</v>
      </c>
      <c r="S14" s="194">
        <f t="shared" si="2"/>
        <v>3593.6800000000003</v>
      </c>
      <c r="T14" s="194">
        <f t="shared" si="2"/>
        <v>5106.72</v>
      </c>
      <c r="U14" s="195">
        <f t="shared" si="2"/>
        <v>7665.42</v>
      </c>
      <c r="V14" s="195">
        <f t="shared" si="2"/>
        <v>7665.42</v>
      </c>
      <c r="W14" s="185"/>
      <c r="X14" s="185"/>
      <c r="Y14" s="185"/>
      <c r="Z14" s="185"/>
      <c r="AA14" s="185"/>
      <c r="AB14" s="185"/>
    </row>
    <row r="15" spans="1:28" ht="15.75">
      <c r="A15" s="184" t="s">
        <v>555</v>
      </c>
      <c r="B15" s="185" t="s">
        <v>556</v>
      </c>
      <c r="C15" s="193"/>
      <c r="D15" s="186">
        <v>145.88</v>
      </c>
      <c r="E15" s="186">
        <v>108.68</v>
      </c>
      <c r="F15" s="186">
        <v>238.76</v>
      </c>
      <c r="G15" s="186">
        <v>178.55</v>
      </c>
      <c r="H15" s="193"/>
      <c r="I15" s="193"/>
      <c r="J15" s="193"/>
      <c r="K15" s="187">
        <v>0</v>
      </c>
      <c r="L15" s="187">
        <v>0</v>
      </c>
      <c r="M15" s="187">
        <v>0</v>
      </c>
      <c r="N15" s="187">
        <v>0</v>
      </c>
      <c r="O15" s="187">
        <v>0</v>
      </c>
      <c r="P15" s="187">
        <v>0</v>
      </c>
      <c r="Q15" s="187">
        <v>0</v>
      </c>
      <c r="R15" s="187">
        <v>7.45</v>
      </c>
      <c r="S15" s="185">
        <v>0</v>
      </c>
      <c r="T15" s="185">
        <v>0</v>
      </c>
      <c r="U15" s="188">
        <v>0</v>
      </c>
      <c r="V15" s="188">
        <v>0</v>
      </c>
      <c r="W15" s="185"/>
      <c r="X15" s="185"/>
      <c r="Y15" s="185"/>
      <c r="Z15" s="185"/>
      <c r="AA15" s="185"/>
      <c r="AB15" s="185"/>
    </row>
    <row r="16" spans="1:28" ht="15">
      <c r="A16" s="184" t="s">
        <v>557</v>
      </c>
      <c r="B16" s="185" t="s">
        <v>558</v>
      </c>
      <c r="C16" s="186">
        <f>1113.68+156.56+427.09+329.34+777.97</f>
        <v>2804.64</v>
      </c>
      <c r="D16" s="186">
        <f>521.59+678.6+5.47+352.38+246.82+845.6</f>
        <v>2650.46</v>
      </c>
      <c r="E16" s="186">
        <f>1639.51+182.99+5.59</f>
        <v>1828.09</v>
      </c>
      <c r="F16" s="186">
        <f>1815.72+178.57+7.74</f>
        <v>2002.03</v>
      </c>
      <c r="G16" s="186">
        <f>1779.42+149.44+5.7</f>
        <v>1934.5600000000002</v>
      </c>
      <c r="H16" s="187">
        <f>2201.99+130.34+5.66+0</f>
        <v>2337.99</v>
      </c>
      <c r="I16" s="185">
        <v>2673.32</v>
      </c>
      <c r="J16" s="196">
        <f>331.31+130.42+6.57</f>
        <v>468.3</v>
      </c>
      <c r="K16" s="187">
        <f>171.85+9.05</f>
        <v>180.9</v>
      </c>
      <c r="L16" s="187">
        <f>101.93+9.86</f>
        <v>111.79</v>
      </c>
      <c r="M16" s="187">
        <v>161.05</v>
      </c>
      <c r="N16" s="187">
        <f>104.35+12.55</f>
        <v>116.89999999999999</v>
      </c>
      <c r="O16" s="187">
        <f>153.83+13.51</f>
        <v>167.34</v>
      </c>
      <c r="P16" s="187">
        <f>137.96+22.1</f>
        <v>160.06</v>
      </c>
      <c r="Q16" s="187">
        <f>137.2+32.73</f>
        <v>169.92999999999998</v>
      </c>
      <c r="R16" s="187">
        <f>139.82+26.45</f>
        <v>166.26999999999998</v>
      </c>
      <c r="S16" s="185">
        <f>230.23+36.68</f>
        <v>266.90999999999997</v>
      </c>
      <c r="T16" s="185">
        <f>215.66+35.62</f>
        <v>251.28</v>
      </c>
      <c r="U16" s="188">
        <f>207.71+24.05</f>
        <v>231.76000000000002</v>
      </c>
      <c r="V16" s="188">
        <f>207.71+24.05</f>
        <v>231.76000000000002</v>
      </c>
      <c r="W16" s="185"/>
      <c r="X16" s="185"/>
      <c r="Y16" s="185"/>
      <c r="Z16" s="185"/>
      <c r="AA16" s="185"/>
      <c r="AB16" s="185"/>
    </row>
    <row r="17" spans="1:28" ht="15">
      <c r="A17" s="184" t="s">
        <v>559</v>
      </c>
      <c r="B17" s="185" t="s">
        <v>560</v>
      </c>
      <c r="C17" s="186">
        <f>2822.09-2026.67+300.44</f>
        <v>1095.8600000000001</v>
      </c>
      <c r="D17" s="186">
        <f>2721.66-1804.86</f>
        <v>916.8</v>
      </c>
      <c r="E17" s="186">
        <f>2166.34-1828.09</f>
        <v>338.2500000000002</v>
      </c>
      <c r="F17" s="186">
        <f>2358.22-2002.02</f>
        <v>356.1999999999998</v>
      </c>
      <c r="G17" s="186">
        <f>2226.15-1934.56</f>
        <v>291.59000000000015</v>
      </c>
      <c r="H17" s="187">
        <f>2630.93-2201.99-130.34-5.66</f>
        <v>292.94</v>
      </c>
      <c r="I17" s="196">
        <v>547.5</v>
      </c>
      <c r="J17" s="185">
        <f>1093.98-J16</f>
        <v>625.6800000000001</v>
      </c>
      <c r="K17" s="187">
        <f>1598.37-K16</f>
        <v>1417.4699999999998</v>
      </c>
      <c r="L17" s="187">
        <f>2471.67-L16</f>
        <v>2359.88</v>
      </c>
      <c r="M17" s="187">
        <f>2821.44-M16</f>
        <v>2660.39</v>
      </c>
      <c r="N17" s="187">
        <f>2257.71-N16</f>
        <v>2140.81</v>
      </c>
      <c r="O17" s="187">
        <f>2386.27-O16</f>
        <v>2218.93</v>
      </c>
      <c r="P17" s="187">
        <f>2486.77-P16</f>
        <v>2326.71</v>
      </c>
      <c r="Q17" s="187">
        <f>2964.29-Q16</f>
        <v>2794.36</v>
      </c>
      <c r="R17" s="187">
        <f>3161.43-R16</f>
        <v>2995.16</v>
      </c>
      <c r="S17" s="185">
        <f>2301.17-S16</f>
        <v>2034.2600000000002</v>
      </c>
      <c r="T17" s="185">
        <f>2650.91-T16</f>
        <v>2399.6299999999997</v>
      </c>
      <c r="U17" s="188">
        <f>1654.22-U16</f>
        <v>1422.46</v>
      </c>
      <c r="V17" s="188">
        <f>1654.22-V16</f>
        <v>1422.46</v>
      </c>
      <c r="W17" s="185"/>
      <c r="X17" s="185"/>
      <c r="Y17" s="185"/>
      <c r="Z17" s="185"/>
      <c r="AA17" s="185"/>
      <c r="AB17" s="185"/>
    </row>
    <row r="18" spans="1:28" ht="15.75">
      <c r="A18" s="184" t="s">
        <v>561</v>
      </c>
      <c r="B18" s="192" t="s">
        <v>562</v>
      </c>
      <c r="C18" s="193">
        <f>SUM(C15:C17)</f>
        <v>3900.5</v>
      </c>
      <c r="D18" s="193">
        <f>SUM(D15:D17)</f>
        <v>3713.1400000000003</v>
      </c>
      <c r="E18" s="193">
        <f>SUM(E15:E17)</f>
        <v>2275.0200000000004</v>
      </c>
      <c r="F18" s="193">
        <f>SUM(F15:F17)</f>
        <v>2596.99</v>
      </c>
      <c r="G18" s="193">
        <f>SUM(G15:G17)</f>
        <v>2404.7000000000003</v>
      </c>
      <c r="H18" s="193">
        <f>SUM(H16:H17)</f>
        <v>2630.93</v>
      </c>
      <c r="I18" s="193">
        <f>SUM(I16:I17)</f>
        <v>3220.82</v>
      </c>
      <c r="J18" s="193">
        <f>SUM(J16:J17)</f>
        <v>1093.98</v>
      </c>
      <c r="K18" s="194">
        <f aca="true" t="shared" si="3" ref="K18:Q18">SUM(K15:K17)</f>
        <v>1598.37</v>
      </c>
      <c r="L18" s="194">
        <f t="shared" si="3"/>
        <v>2471.67</v>
      </c>
      <c r="M18" s="194">
        <f t="shared" si="3"/>
        <v>2821.44</v>
      </c>
      <c r="N18" s="194">
        <f t="shared" si="3"/>
        <v>2257.71</v>
      </c>
      <c r="O18" s="194">
        <f t="shared" si="3"/>
        <v>2386.27</v>
      </c>
      <c r="P18" s="194">
        <f t="shared" si="3"/>
        <v>2486.77</v>
      </c>
      <c r="Q18" s="194">
        <f t="shared" si="3"/>
        <v>2964.29</v>
      </c>
      <c r="R18" s="194">
        <f>SUM(R15:R17)</f>
        <v>3168.8799999999997</v>
      </c>
      <c r="S18" s="194">
        <f>SUM(S15:S17)</f>
        <v>2301.17</v>
      </c>
      <c r="T18" s="194">
        <f>SUM(T15:T17)</f>
        <v>2650.91</v>
      </c>
      <c r="U18" s="195">
        <f>SUM(U15:U17)</f>
        <v>1654.22</v>
      </c>
      <c r="V18" s="195">
        <f>SUM(V15:V17)</f>
        <v>1654.22</v>
      </c>
      <c r="W18" s="185"/>
      <c r="X18" s="185"/>
      <c r="Y18" s="185"/>
      <c r="Z18" s="185"/>
      <c r="AA18" s="185"/>
      <c r="AB18" s="185"/>
    </row>
    <row r="19" spans="1:28" ht="30">
      <c r="A19" s="197" t="s">
        <v>563</v>
      </c>
      <c r="B19" s="198" t="s">
        <v>564</v>
      </c>
      <c r="C19" s="186"/>
      <c r="D19" s="186"/>
      <c r="E19" s="186"/>
      <c r="F19" s="186"/>
      <c r="G19" s="186"/>
      <c r="H19" s="187"/>
      <c r="I19" s="196"/>
      <c r="J19" s="185"/>
      <c r="K19" s="187"/>
      <c r="L19" s="187"/>
      <c r="M19" s="187"/>
      <c r="N19" s="187"/>
      <c r="O19" s="187"/>
      <c r="P19" s="187"/>
      <c r="Q19" s="187"/>
      <c r="R19" s="187">
        <v>650.82</v>
      </c>
      <c r="S19" s="185">
        <v>317.17</v>
      </c>
      <c r="T19" s="185">
        <v>267.33</v>
      </c>
      <c r="U19" s="188">
        <v>198.71</v>
      </c>
      <c r="V19" s="188">
        <v>198.71</v>
      </c>
      <c r="W19" s="185"/>
      <c r="X19" s="185"/>
      <c r="Y19" s="185"/>
      <c r="Z19" s="185"/>
      <c r="AA19" s="185"/>
      <c r="AB19" s="185"/>
    </row>
    <row r="20" spans="1:28" ht="30" customHeight="1">
      <c r="A20" s="439" t="s">
        <v>565</v>
      </c>
      <c r="B20" s="439"/>
      <c r="C20" s="193">
        <f aca="true" t="shared" si="4" ref="C20:Q20">+C14+C18</f>
        <v>7225.17</v>
      </c>
      <c r="D20" s="193">
        <f t="shared" si="4"/>
        <v>11623.68</v>
      </c>
      <c r="E20" s="193">
        <f t="shared" si="4"/>
        <v>5185.370000000001</v>
      </c>
      <c r="F20" s="193">
        <f t="shared" si="4"/>
        <v>5600.8</v>
      </c>
      <c r="G20" s="193">
        <f t="shared" si="4"/>
        <v>6295.92</v>
      </c>
      <c r="H20" s="193">
        <f t="shared" si="4"/>
        <v>7455.25</v>
      </c>
      <c r="I20" s="193">
        <f t="shared" si="4"/>
        <v>7677.639999999999</v>
      </c>
      <c r="J20" s="193">
        <f t="shared" si="4"/>
        <v>3891.62</v>
      </c>
      <c r="K20" s="194">
        <f t="shared" si="4"/>
        <v>4807.3099999999995</v>
      </c>
      <c r="L20" s="194">
        <f t="shared" si="4"/>
        <v>5887.210000000001</v>
      </c>
      <c r="M20" s="194">
        <f t="shared" si="4"/>
        <v>6530.84</v>
      </c>
      <c r="N20" s="194">
        <f t="shared" si="4"/>
        <v>6402.870000000001</v>
      </c>
      <c r="O20" s="194">
        <f t="shared" si="4"/>
        <v>7344.65</v>
      </c>
      <c r="P20" s="194">
        <f t="shared" si="4"/>
        <v>8727.03</v>
      </c>
      <c r="Q20" s="194">
        <f t="shared" si="4"/>
        <v>10381.23</v>
      </c>
      <c r="R20" s="194">
        <f>+R14+R18+R19</f>
        <v>10996.55</v>
      </c>
      <c r="S20" s="194">
        <f>+S14+S18+S19</f>
        <v>6212.02</v>
      </c>
      <c r="T20" s="194">
        <f>+T14+T18+T19</f>
        <v>8024.96</v>
      </c>
      <c r="U20" s="195">
        <f>+U14+U18+U19</f>
        <v>9518.349999999999</v>
      </c>
      <c r="V20" s="195">
        <f>+V14+V18+V19</f>
        <v>9518.349999999999</v>
      </c>
      <c r="W20" s="185"/>
      <c r="X20" s="185"/>
      <c r="Y20" s="185"/>
      <c r="Z20" s="185"/>
      <c r="AA20" s="185"/>
      <c r="AB20" s="185"/>
    </row>
    <row r="21" spans="1:28" ht="24" customHeight="1">
      <c r="A21" s="184"/>
      <c r="B21" s="200"/>
      <c r="C21" s="193"/>
      <c r="D21" s="193"/>
      <c r="E21" s="193"/>
      <c r="F21" s="193"/>
      <c r="G21" s="193"/>
      <c r="H21" s="185"/>
      <c r="I21" s="185"/>
      <c r="J21" s="185"/>
      <c r="K21" s="185"/>
      <c r="L21" s="185"/>
      <c r="M21" s="185"/>
      <c r="N21" s="185"/>
      <c r="O21" s="185"/>
      <c r="P21" s="185"/>
      <c r="Q21" s="185"/>
      <c r="R21" s="185"/>
      <c r="S21" s="185"/>
      <c r="T21" s="185"/>
      <c r="U21" s="185"/>
      <c r="V21" s="185"/>
      <c r="W21" s="185"/>
      <c r="X21" s="185"/>
      <c r="Y21" s="185"/>
      <c r="Z21" s="185"/>
      <c r="AA21" s="185"/>
      <c r="AB21" s="185"/>
    </row>
    <row r="22" spans="1:28" ht="34.5" customHeight="1">
      <c r="A22" s="182" t="s">
        <v>524</v>
      </c>
      <c r="B22" s="183" t="s">
        <v>566</v>
      </c>
      <c r="C22" s="183" t="s">
        <v>526</v>
      </c>
      <c r="D22" s="183" t="s">
        <v>527</v>
      </c>
      <c r="E22" s="183" t="s">
        <v>528</v>
      </c>
      <c r="F22" s="183" t="s">
        <v>529</v>
      </c>
      <c r="G22" s="183" t="s">
        <v>530</v>
      </c>
      <c r="H22" s="183" t="s">
        <v>531</v>
      </c>
      <c r="I22" s="183" t="s">
        <v>532</v>
      </c>
      <c r="J22" s="183" t="s">
        <v>533</v>
      </c>
      <c r="K22" s="183" t="s">
        <v>534</v>
      </c>
      <c r="L22" s="183" t="s">
        <v>535</v>
      </c>
      <c r="M22" s="183" t="s">
        <v>14</v>
      </c>
      <c r="N22" s="183" t="s">
        <v>15</v>
      </c>
      <c r="O22" s="183" t="s">
        <v>108</v>
      </c>
      <c r="P22" s="183" t="s">
        <v>16</v>
      </c>
      <c r="Q22" s="183" t="s">
        <v>17</v>
      </c>
      <c r="R22" s="183" t="s">
        <v>18</v>
      </c>
      <c r="S22" s="183" t="s">
        <v>19</v>
      </c>
      <c r="T22" s="183" t="s">
        <v>20</v>
      </c>
      <c r="U22" s="183" t="s">
        <v>21</v>
      </c>
      <c r="V22" s="183" t="s">
        <v>21</v>
      </c>
      <c r="W22" s="185"/>
      <c r="X22" s="185"/>
      <c r="Y22" s="185"/>
      <c r="Z22" s="185"/>
      <c r="AA22" s="185"/>
      <c r="AB22" s="185"/>
    </row>
    <row r="23" spans="1:28" ht="16.5" customHeight="1">
      <c r="A23" s="184" t="s">
        <v>567</v>
      </c>
      <c r="B23" s="185" t="s">
        <v>568</v>
      </c>
      <c r="C23" s="186">
        <v>4469.94</v>
      </c>
      <c r="D23" s="186">
        <v>4928.69</v>
      </c>
      <c r="E23" s="186">
        <v>2521.24</v>
      </c>
      <c r="F23" s="186">
        <v>3125.9</v>
      </c>
      <c r="G23" s="186">
        <v>3552.56</v>
      </c>
      <c r="H23" s="187">
        <v>3698.56</v>
      </c>
      <c r="I23" s="187">
        <v>3974.93</v>
      </c>
      <c r="J23" s="187">
        <v>4493.08</v>
      </c>
      <c r="K23" s="187">
        <v>4923.54</v>
      </c>
      <c r="L23" s="187">
        <v>5495.36</v>
      </c>
      <c r="M23" s="187">
        <v>5967.49</v>
      </c>
      <c r="N23" s="187">
        <v>6547.43</v>
      </c>
      <c r="O23" s="187">
        <v>7259.54</v>
      </c>
      <c r="P23" s="187">
        <v>8000.04</v>
      </c>
      <c r="Q23" s="187">
        <v>9130.66</v>
      </c>
      <c r="R23" s="187">
        <v>9878.14</v>
      </c>
      <c r="S23" s="185">
        <v>5647.76</v>
      </c>
      <c r="T23" s="185">
        <v>6771.76</v>
      </c>
      <c r="U23" s="196">
        <v>8827.26</v>
      </c>
      <c r="V23" s="196">
        <v>8827.26</v>
      </c>
      <c r="W23" s="196"/>
      <c r="X23" s="185"/>
      <c r="Y23" s="185"/>
      <c r="Z23" s="185"/>
      <c r="AA23" s="185"/>
      <c r="AB23" s="185"/>
    </row>
    <row r="24" spans="1:28" ht="16.5" customHeight="1">
      <c r="A24" s="184" t="s">
        <v>569</v>
      </c>
      <c r="B24" s="185" t="s">
        <v>169</v>
      </c>
      <c r="C24" s="186">
        <v>1846.36</v>
      </c>
      <c r="D24" s="186">
        <v>2148.05</v>
      </c>
      <c r="E24" s="186">
        <v>691.48</v>
      </c>
      <c r="F24" s="186">
        <v>849.11</v>
      </c>
      <c r="G24" s="186">
        <v>1043.97</v>
      </c>
      <c r="H24" s="187">
        <v>1259.34</v>
      </c>
      <c r="I24" s="187">
        <v>1481.41</v>
      </c>
      <c r="J24" s="187">
        <v>1743.13</v>
      </c>
      <c r="K24" s="187">
        <v>1985.55</v>
      </c>
      <c r="L24" s="187">
        <v>2251.67</v>
      </c>
      <c r="M24" s="187">
        <v>2543.45</v>
      </c>
      <c r="N24" s="187">
        <v>2860.38</v>
      </c>
      <c r="O24" s="187">
        <v>3218.07</v>
      </c>
      <c r="P24" s="187">
        <v>3610.61</v>
      </c>
      <c r="Q24" s="187">
        <v>4027.1</v>
      </c>
      <c r="R24" s="187">
        <v>4489.21</v>
      </c>
      <c r="S24" s="185">
        <v>2596.78</v>
      </c>
      <c r="T24" s="185">
        <v>2870.84</v>
      </c>
      <c r="U24" s="185">
        <v>3206.79</v>
      </c>
      <c r="V24" s="185">
        <v>3206.79</v>
      </c>
      <c r="W24" s="185"/>
      <c r="X24" s="185"/>
      <c r="Y24" s="185"/>
      <c r="Z24" s="185"/>
      <c r="AA24" s="185"/>
      <c r="AB24" s="185"/>
    </row>
    <row r="25" spans="1:28" ht="16.5" customHeight="1">
      <c r="A25" s="184" t="s">
        <v>570</v>
      </c>
      <c r="B25" s="185" t="s">
        <v>571</v>
      </c>
      <c r="C25" s="194">
        <f aca="true" t="shared" si="5" ref="C25:T25">+C23-C24</f>
        <v>2623.58</v>
      </c>
      <c r="D25" s="194">
        <f t="shared" si="5"/>
        <v>2780.6399999999994</v>
      </c>
      <c r="E25" s="194">
        <f t="shared" si="5"/>
        <v>1829.7599999999998</v>
      </c>
      <c r="F25" s="194">
        <f t="shared" si="5"/>
        <v>2276.79</v>
      </c>
      <c r="G25" s="194">
        <f t="shared" si="5"/>
        <v>2508.59</v>
      </c>
      <c r="H25" s="194">
        <f t="shared" si="5"/>
        <v>2439.2200000000003</v>
      </c>
      <c r="I25" s="194">
        <f t="shared" si="5"/>
        <v>2493.5199999999995</v>
      </c>
      <c r="J25" s="194">
        <f t="shared" si="5"/>
        <v>2749.95</v>
      </c>
      <c r="K25" s="194">
        <f t="shared" si="5"/>
        <v>2937.99</v>
      </c>
      <c r="L25" s="194">
        <f t="shared" si="5"/>
        <v>3243.6899999999996</v>
      </c>
      <c r="M25" s="194">
        <f t="shared" si="5"/>
        <v>3424.04</v>
      </c>
      <c r="N25" s="194">
        <f t="shared" si="5"/>
        <v>3687.05</v>
      </c>
      <c r="O25" s="194">
        <f t="shared" si="5"/>
        <v>4041.47</v>
      </c>
      <c r="P25" s="194">
        <f t="shared" si="5"/>
        <v>4389.43</v>
      </c>
      <c r="Q25" s="194">
        <f t="shared" si="5"/>
        <v>5103.5599999999995</v>
      </c>
      <c r="R25" s="194">
        <f t="shared" si="5"/>
        <v>5388.929999999999</v>
      </c>
      <c r="S25" s="194">
        <f t="shared" si="5"/>
        <v>3050.98</v>
      </c>
      <c r="T25" s="194">
        <f t="shared" si="5"/>
        <v>3900.92</v>
      </c>
      <c r="U25" s="195">
        <v>5620.47</v>
      </c>
      <c r="V25" s="195">
        <v>5620.47</v>
      </c>
      <c r="W25" s="185"/>
      <c r="X25" s="185"/>
      <c r="Y25" s="185"/>
      <c r="Z25" s="185"/>
      <c r="AA25" s="185"/>
      <c r="AB25" s="185"/>
    </row>
    <row r="26" spans="1:28" ht="16.5" customHeight="1">
      <c r="A26" s="197" t="s">
        <v>572</v>
      </c>
      <c r="B26" s="185" t="s">
        <v>573</v>
      </c>
      <c r="C26" s="186">
        <v>1099.26</v>
      </c>
      <c r="D26" s="186">
        <v>1759.13</v>
      </c>
      <c r="E26" s="186">
        <v>580.1</v>
      </c>
      <c r="F26" s="186">
        <v>434.54</v>
      </c>
      <c r="G26" s="186">
        <v>370.5</v>
      </c>
      <c r="H26" s="187">
        <v>472.51</v>
      </c>
      <c r="I26" s="187">
        <v>611.51</v>
      </c>
      <c r="J26" s="187">
        <v>451.55</v>
      </c>
      <c r="K26" s="187">
        <v>520.55</v>
      </c>
      <c r="L26" s="187">
        <v>430.79</v>
      </c>
      <c r="M26" s="187">
        <v>511.59</v>
      </c>
      <c r="N26" s="187">
        <v>838.56</v>
      </c>
      <c r="O26" s="187">
        <v>1218.8</v>
      </c>
      <c r="P26" s="187">
        <v>1699.39</v>
      </c>
      <c r="Q26" s="187">
        <v>1704.34</v>
      </c>
      <c r="R26" s="187">
        <v>2329.83</v>
      </c>
      <c r="S26" s="185">
        <v>1293.92</v>
      </c>
      <c r="T26" s="185">
        <v>2318.37</v>
      </c>
      <c r="U26" s="188">
        <v>2563.26</v>
      </c>
      <c r="V26" s="188">
        <v>2563.26</v>
      </c>
      <c r="W26" s="185"/>
      <c r="X26" s="185"/>
      <c r="Y26" s="185"/>
      <c r="Z26" s="185"/>
      <c r="AA26" s="185"/>
      <c r="AB26" s="185"/>
    </row>
    <row r="27" spans="1:28" ht="31.5">
      <c r="A27" s="184" t="s">
        <v>574</v>
      </c>
      <c r="B27" s="201" t="s">
        <v>575</v>
      </c>
      <c r="C27" s="194">
        <f aca="true" t="shared" si="6" ref="C27:T27">C25+C26</f>
        <v>3722.84</v>
      </c>
      <c r="D27" s="194">
        <f t="shared" si="6"/>
        <v>4539.7699999999995</v>
      </c>
      <c r="E27" s="194">
        <f t="shared" si="6"/>
        <v>2409.8599999999997</v>
      </c>
      <c r="F27" s="194">
        <f t="shared" si="6"/>
        <v>2711.33</v>
      </c>
      <c r="G27" s="194">
        <f t="shared" si="6"/>
        <v>2879.09</v>
      </c>
      <c r="H27" s="194">
        <f t="shared" si="6"/>
        <v>2911.7300000000005</v>
      </c>
      <c r="I27" s="194">
        <f t="shared" si="6"/>
        <v>3105.0299999999997</v>
      </c>
      <c r="J27" s="194">
        <f t="shared" si="6"/>
        <v>3201.5</v>
      </c>
      <c r="K27" s="194">
        <f t="shared" si="6"/>
        <v>3458.54</v>
      </c>
      <c r="L27" s="194">
        <f t="shared" si="6"/>
        <v>3674.4799999999996</v>
      </c>
      <c r="M27" s="194">
        <f t="shared" si="6"/>
        <v>3935.63</v>
      </c>
      <c r="N27" s="194">
        <f t="shared" si="6"/>
        <v>4525.610000000001</v>
      </c>
      <c r="O27" s="194">
        <f t="shared" si="6"/>
        <v>5260.2699999999995</v>
      </c>
      <c r="P27" s="194">
        <f t="shared" si="6"/>
        <v>6088.820000000001</v>
      </c>
      <c r="Q27" s="194">
        <f t="shared" si="6"/>
        <v>6807.9</v>
      </c>
      <c r="R27" s="194">
        <f t="shared" si="6"/>
        <v>7718.759999999999</v>
      </c>
      <c r="S27" s="194">
        <f t="shared" si="6"/>
        <v>4344.9</v>
      </c>
      <c r="T27" s="194">
        <f t="shared" si="6"/>
        <v>6219.29</v>
      </c>
      <c r="U27" s="195">
        <f>U25+U26</f>
        <v>8183.7300000000005</v>
      </c>
      <c r="V27" s="195">
        <f>V25+V26</f>
        <v>8183.7300000000005</v>
      </c>
      <c r="W27" s="185"/>
      <c r="X27" s="185"/>
      <c r="Y27" s="185"/>
      <c r="Z27" s="185"/>
      <c r="AA27" s="185"/>
      <c r="AB27" s="185"/>
    </row>
    <row r="28" spans="1:28" ht="15.75">
      <c r="A28" s="197" t="s">
        <v>576</v>
      </c>
      <c r="B28" s="198" t="s">
        <v>61</v>
      </c>
      <c r="C28" s="186">
        <v>37.53</v>
      </c>
      <c r="D28" s="193">
        <v>35.02</v>
      </c>
      <c r="E28" s="186">
        <v>1330.26</v>
      </c>
      <c r="F28" s="186">
        <v>1336.61</v>
      </c>
      <c r="G28" s="186">
        <v>1346.39</v>
      </c>
      <c r="H28" s="187">
        <v>1340.57</v>
      </c>
      <c r="I28" s="187">
        <v>1366.94</v>
      </c>
      <c r="J28" s="187">
        <v>364.16</v>
      </c>
      <c r="K28" s="187">
        <v>110.64</v>
      </c>
      <c r="L28" s="187">
        <v>137.57</v>
      </c>
      <c r="M28" s="187">
        <v>100.22</v>
      </c>
      <c r="N28" s="187">
        <v>91.92</v>
      </c>
      <c r="O28" s="187">
        <v>96.89</v>
      </c>
      <c r="P28" s="187">
        <v>101.57</v>
      </c>
      <c r="Q28" s="187">
        <v>107.18</v>
      </c>
      <c r="R28" s="187">
        <v>700.55</v>
      </c>
      <c r="S28" s="185">
        <v>307.06</v>
      </c>
      <c r="T28" s="185">
        <v>310.99</v>
      </c>
      <c r="U28" s="188">
        <v>67.43</v>
      </c>
      <c r="V28" s="188">
        <v>67.43</v>
      </c>
      <c r="W28" s="185"/>
      <c r="X28" s="185"/>
      <c r="Y28" s="185"/>
      <c r="Z28" s="185"/>
      <c r="AA28" s="185"/>
      <c r="AB28" s="185"/>
    </row>
    <row r="29" spans="1:28" ht="15.75">
      <c r="A29" s="197" t="s">
        <v>577</v>
      </c>
      <c r="B29" s="201" t="s">
        <v>62</v>
      </c>
      <c r="C29" s="193"/>
      <c r="D29" s="193"/>
      <c r="E29" s="193"/>
      <c r="F29" s="193"/>
      <c r="G29" s="193"/>
      <c r="H29" s="194"/>
      <c r="I29" s="194"/>
      <c r="J29" s="194"/>
      <c r="K29" s="194"/>
      <c r="L29" s="194"/>
      <c r="M29" s="194"/>
      <c r="N29" s="194"/>
      <c r="O29" s="194"/>
      <c r="P29" s="194"/>
      <c r="Q29" s="194"/>
      <c r="R29" s="194"/>
      <c r="S29" s="185"/>
      <c r="T29" s="185"/>
      <c r="U29" s="188"/>
      <c r="V29" s="188"/>
      <c r="W29" s="185"/>
      <c r="X29" s="185"/>
      <c r="Y29" s="185"/>
      <c r="Z29" s="185"/>
      <c r="AA29" s="185"/>
      <c r="AB29" s="185"/>
    </row>
    <row r="30" spans="1:28" ht="15">
      <c r="A30" s="184" t="s">
        <v>578</v>
      </c>
      <c r="B30" s="190" t="s">
        <v>579</v>
      </c>
      <c r="C30" s="186">
        <v>166.33</v>
      </c>
      <c r="D30" s="186">
        <v>147.03</v>
      </c>
      <c r="E30" s="186">
        <v>24.46</v>
      </c>
      <c r="F30" s="186">
        <v>106.59</v>
      </c>
      <c r="G30" s="186">
        <v>136.98</v>
      </c>
      <c r="H30" s="187">
        <v>152.95</v>
      </c>
      <c r="I30" s="187">
        <v>167.83</v>
      </c>
      <c r="J30" s="187">
        <v>213.07</v>
      </c>
      <c r="K30" s="187">
        <v>252.82</v>
      </c>
      <c r="L30" s="187">
        <v>211.21</v>
      </c>
      <c r="M30" s="187">
        <v>220.17</v>
      </c>
      <c r="N30" s="187">
        <v>263.07</v>
      </c>
      <c r="O30" s="187">
        <v>317.1</v>
      </c>
      <c r="P30" s="187">
        <v>441.12</v>
      </c>
      <c r="Q30" s="187">
        <v>465.18</v>
      </c>
      <c r="R30" s="187">
        <v>435.17</v>
      </c>
      <c r="S30" s="185">
        <v>424.27</v>
      </c>
      <c r="T30" s="185">
        <v>270.48</v>
      </c>
      <c r="U30" s="188">
        <v>224.55</v>
      </c>
      <c r="V30" s="188">
        <v>224.55</v>
      </c>
      <c r="W30" s="185"/>
      <c r="X30" s="185"/>
      <c r="Y30" s="185"/>
      <c r="Z30" s="185"/>
      <c r="AA30" s="185"/>
      <c r="AB30" s="185"/>
    </row>
    <row r="31" spans="1:28" ht="15">
      <c r="A31" s="184" t="s">
        <v>580</v>
      </c>
      <c r="B31" s="190" t="s">
        <v>581</v>
      </c>
      <c r="C31" s="186">
        <v>965.59</v>
      </c>
      <c r="D31" s="186">
        <v>1304.31</v>
      </c>
      <c r="E31" s="186">
        <v>503</v>
      </c>
      <c r="F31" s="186">
        <v>456.16</v>
      </c>
      <c r="G31" s="186">
        <v>917.08</v>
      </c>
      <c r="H31" s="187">
        <v>2002.12</v>
      </c>
      <c r="I31" s="187">
        <v>2034.79</v>
      </c>
      <c r="J31" s="187">
        <v>-36.26</v>
      </c>
      <c r="K31" s="187">
        <v>295.31</v>
      </c>
      <c r="L31" s="187">
        <v>623.44</v>
      </c>
      <c r="M31" s="187">
        <v>48.91</v>
      </c>
      <c r="N31" s="187">
        <v>75.95</v>
      </c>
      <c r="O31" s="187">
        <v>163.86</v>
      </c>
      <c r="P31" s="187">
        <v>370.07</v>
      </c>
      <c r="Q31" s="187">
        <v>628.11</v>
      </c>
      <c r="R31" s="187">
        <v>264.07</v>
      </c>
      <c r="S31" s="185">
        <v>252.57</v>
      </c>
      <c r="T31" s="185">
        <v>238.05</v>
      </c>
      <c r="U31" s="188">
        <v>159.76</v>
      </c>
      <c r="V31" s="188">
        <v>159.76</v>
      </c>
      <c r="W31" s="185"/>
      <c r="X31" s="185"/>
      <c r="Y31" s="185"/>
      <c r="Z31" s="185"/>
      <c r="AA31" s="185"/>
      <c r="AB31" s="185"/>
    </row>
    <row r="32" spans="1:28" s="207" customFormat="1" ht="30">
      <c r="A32" s="197" t="s">
        <v>582</v>
      </c>
      <c r="B32" s="202" t="s">
        <v>583</v>
      </c>
      <c r="C32" s="203">
        <f>1787.79-166.33-965.59</f>
        <v>655.87</v>
      </c>
      <c r="D32" s="203">
        <f>2412.46-147.03-1304.31</f>
        <v>961.1199999999999</v>
      </c>
      <c r="E32" s="203">
        <f>594.19-503-24.46+0.26</f>
        <v>66.99000000000005</v>
      </c>
      <c r="F32" s="203">
        <f>701.8-456.16-106.59+0.26</f>
        <v>139.30999999999992</v>
      </c>
      <c r="G32" s="203">
        <f>1448.56-136.98-917.08+0.26</f>
        <v>394.7599999999999</v>
      </c>
      <c r="H32" s="204">
        <f>2581.07-H31-H30+0.26</f>
        <v>426.2600000000003</v>
      </c>
      <c r="I32" s="204">
        <f>381.16+0.27</f>
        <v>381.43</v>
      </c>
      <c r="J32" s="204">
        <f>325.69-J31-J30+0.27</f>
        <v>149.15</v>
      </c>
      <c r="K32" s="204">
        <f>1237.87-K31-K30+0.26</f>
        <v>690</v>
      </c>
      <c r="L32" s="204">
        <f>2074.89-L31-L30+0.26+0.01</f>
        <v>1240.5099999999998</v>
      </c>
      <c r="M32" s="204">
        <f>2494.98-M31-M30+0.01</f>
        <v>2225.9100000000003</v>
      </c>
      <c r="N32" s="204">
        <f>1785.33-N31-N30+0.01</f>
        <v>1446.32</v>
      </c>
      <c r="O32" s="204">
        <f>1987.49-O31-O30</f>
        <v>1506.5300000000002</v>
      </c>
      <c r="P32" s="204">
        <f>2536.64-P31-P30</f>
        <v>1725.4499999999998</v>
      </c>
      <c r="Q32" s="204">
        <f>3466.15-Q31-Q30</f>
        <v>2372.86</v>
      </c>
      <c r="R32" s="204">
        <f>2577.24-R31-R30</f>
        <v>1877.9999999999995</v>
      </c>
      <c r="S32" s="205">
        <f>1560.06-S30-S31</f>
        <v>883.22</v>
      </c>
      <c r="T32" s="205">
        <f>1494.68-T30-T31</f>
        <v>986.1500000000001</v>
      </c>
      <c r="U32" s="206">
        <f>629.73-U30-U31</f>
        <v>245.42000000000002</v>
      </c>
      <c r="V32" s="206">
        <f>629.73-V30-V31</f>
        <v>245.42000000000002</v>
      </c>
      <c r="W32" s="205"/>
      <c r="X32" s="205"/>
      <c r="Y32" s="205"/>
      <c r="Z32" s="205"/>
      <c r="AA32" s="205"/>
      <c r="AB32" s="205"/>
    </row>
    <row r="33" spans="1:28" s="207" customFormat="1" ht="15.75">
      <c r="A33" s="197" t="s">
        <v>584</v>
      </c>
      <c r="B33" s="202" t="s">
        <v>585</v>
      </c>
      <c r="C33" s="203"/>
      <c r="D33" s="203"/>
      <c r="E33" s="203"/>
      <c r="F33" s="203"/>
      <c r="G33" s="203"/>
      <c r="H33" s="204"/>
      <c r="I33" s="204"/>
      <c r="J33" s="204"/>
      <c r="K33" s="204"/>
      <c r="L33" s="204"/>
      <c r="M33" s="204"/>
      <c r="N33" s="204"/>
      <c r="O33" s="194">
        <f aca="true" t="shared" si="7" ref="O33:T33">SUM(O30:O32)</f>
        <v>1987.4900000000002</v>
      </c>
      <c r="P33" s="194">
        <f t="shared" si="7"/>
        <v>2536.64</v>
      </c>
      <c r="Q33" s="194">
        <f t="shared" si="7"/>
        <v>3466.15</v>
      </c>
      <c r="R33" s="194">
        <f t="shared" si="7"/>
        <v>2577.24</v>
      </c>
      <c r="S33" s="194">
        <f t="shared" si="7"/>
        <v>1560.06</v>
      </c>
      <c r="T33" s="194">
        <f t="shared" si="7"/>
        <v>1494.68</v>
      </c>
      <c r="U33" s="208">
        <f>U30+U31+U32</f>
        <v>629.73</v>
      </c>
      <c r="V33" s="208">
        <f>V30+V31+V32</f>
        <v>629.73</v>
      </c>
      <c r="W33" s="205"/>
      <c r="X33" s="205"/>
      <c r="Y33" s="205"/>
      <c r="Z33" s="205"/>
      <c r="AA33" s="205"/>
      <c r="AB33" s="205"/>
    </row>
    <row r="34" spans="1:28" s="207" customFormat="1" ht="15.75">
      <c r="A34" s="197" t="s">
        <v>586</v>
      </c>
      <c r="B34" s="209" t="s">
        <v>587</v>
      </c>
      <c r="C34" s="203"/>
      <c r="D34" s="203"/>
      <c r="E34" s="203"/>
      <c r="F34" s="203"/>
      <c r="G34" s="203"/>
      <c r="H34" s="204"/>
      <c r="I34" s="204"/>
      <c r="J34" s="204"/>
      <c r="K34" s="204"/>
      <c r="L34" s="204"/>
      <c r="M34" s="204"/>
      <c r="N34" s="204"/>
      <c r="O34" s="204"/>
      <c r="P34" s="204"/>
      <c r="Q34" s="204"/>
      <c r="R34" s="204"/>
      <c r="S34" s="205"/>
      <c r="T34" s="205"/>
      <c r="U34" s="206"/>
      <c r="V34" s="206"/>
      <c r="W34" s="205"/>
      <c r="X34" s="205"/>
      <c r="Y34" s="205"/>
      <c r="Z34" s="205"/>
      <c r="AA34" s="205"/>
      <c r="AB34" s="205"/>
    </row>
    <row r="35" spans="1:28" s="207" customFormat="1" ht="15">
      <c r="A35" s="197" t="s">
        <v>588</v>
      </c>
      <c r="B35" s="202" t="s">
        <v>174</v>
      </c>
      <c r="C35" s="203"/>
      <c r="D35" s="203"/>
      <c r="E35" s="203"/>
      <c r="F35" s="203"/>
      <c r="G35" s="203"/>
      <c r="H35" s="204"/>
      <c r="I35" s="204"/>
      <c r="J35" s="204"/>
      <c r="K35" s="204"/>
      <c r="L35" s="204"/>
      <c r="M35" s="204"/>
      <c r="N35" s="204"/>
      <c r="O35" s="204"/>
      <c r="P35" s="204"/>
      <c r="Q35" s="204"/>
      <c r="R35" s="204"/>
      <c r="S35" s="205"/>
      <c r="T35" s="205"/>
      <c r="U35" s="206">
        <v>533.83</v>
      </c>
      <c r="V35" s="206">
        <v>533.83</v>
      </c>
      <c r="W35" s="205"/>
      <c r="X35" s="205"/>
      <c r="Y35" s="205"/>
      <c r="Z35" s="205"/>
      <c r="AA35" s="205"/>
      <c r="AB35" s="205"/>
    </row>
    <row r="36" spans="1:28" s="207" customFormat="1" ht="15">
      <c r="A36" s="197" t="s">
        <v>536</v>
      </c>
      <c r="B36" s="202" t="s">
        <v>589</v>
      </c>
      <c r="C36" s="203"/>
      <c r="D36" s="203"/>
      <c r="E36" s="203"/>
      <c r="F36" s="203"/>
      <c r="G36" s="203"/>
      <c r="H36" s="204"/>
      <c r="I36" s="204"/>
      <c r="J36" s="204"/>
      <c r="K36" s="204"/>
      <c r="L36" s="204"/>
      <c r="M36" s="204"/>
      <c r="N36" s="204"/>
      <c r="O36" s="204"/>
      <c r="P36" s="204"/>
      <c r="Q36" s="204"/>
      <c r="R36" s="204"/>
      <c r="S36" s="205"/>
      <c r="T36" s="205"/>
      <c r="U36" s="206">
        <v>10.06</v>
      </c>
      <c r="V36" s="206">
        <v>10.06</v>
      </c>
      <c r="W36" s="205"/>
      <c r="X36" s="205"/>
      <c r="Y36" s="205"/>
      <c r="Z36" s="205"/>
      <c r="AA36" s="205"/>
      <c r="AB36" s="205"/>
    </row>
    <row r="37" spans="1:28" s="207" customFormat="1" ht="22.5" customHeight="1">
      <c r="A37" s="197" t="s">
        <v>538</v>
      </c>
      <c r="B37" s="202" t="s">
        <v>590</v>
      </c>
      <c r="C37" s="203"/>
      <c r="D37" s="203"/>
      <c r="E37" s="203"/>
      <c r="F37" s="203"/>
      <c r="G37" s="203"/>
      <c r="H37" s="204"/>
      <c r="I37" s="204"/>
      <c r="J37" s="204"/>
      <c r="K37" s="204"/>
      <c r="L37" s="204"/>
      <c r="M37" s="204"/>
      <c r="N37" s="204"/>
      <c r="O37" s="204"/>
      <c r="P37" s="204"/>
      <c r="Q37" s="204"/>
      <c r="R37" s="204"/>
      <c r="S37" s="205"/>
      <c r="T37" s="205"/>
      <c r="U37" s="206">
        <v>93.57</v>
      </c>
      <c r="V37" s="206">
        <v>93.57</v>
      </c>
      <c r="W37" s="205"/>
      <c r="X37" s="205"/>
      <c r="Y37" s="205"/>
      <c r="Z37" s="205"/>
      <c r="AA37" s="205"/>
      <c r="AB37" s="205"/>
    </row>
    <row r="38" spans="1:28" s="207" customFormat="1" ht="19.5" customHeight="1">
      <c r="A38" s="197" t="s">
        <v>541</v>
      </c>
      <c r="B38" s="209" t="s">
        <v>591</v>
      </c>
      <c r="C38" s="203"/>
      <c r="D38" s="203"/>
      <c r="E38" s="203"/>
      <c r="F38" s="203"/>
      <c r="G38" s="203"/>
      <c r="H38" s="204"/>
      <c r="I38" s="204"/>
      <c r="J38" s="204"/>
      <c r="K38" s="204"/>
      <c r="L38" s="204"/>
      <c r="M38" s="204"/>
      <c r="N38" s="204"/>
      <c r="O38" s="204"/>
      <c r="P38" s="204"/>
      <c r="Q38" s="204"/>
      <c r="R38" s="204"/>
      <c r="S38" s="205"/>
      <c r="T38" s="205"/>
      <c r="U38" s="206">
        <f>U35+U36+U37</f>
        <v>637.46</v>
      </c>
      <c r="V38" s="206">
        <f>V35+V36+V37</f>
        <v>637.46</v>
      </c>
      <c r="W38" s="205"/>
      <c r="X38" s="205"/>
      <c r="Y38" s="205"/>
      <c r="Z38" s="205"/>
      <c r="AA38" s="205"/>
      <c r="AB38" s="205"/>
    </row>
    <row r="39" spans="1:28" s="207" customFormat="1" ht="22.5" customHeight="1">
      <c r="A39" s="197" t="s">
        <v>545</v>
      </c>
      <c r="B39" s="209" t="s">
        <v>592</v>
      </c>
      <c r="C39" s="203"/>
      <c r="D39" s="203"/>
      <c r="E39" s="203"/>
      <c r="F39" s="203"/>
      <c r="G39" s="203"/>
      <c r="H39" s="204"/>
      <c r="I39" s="204"/>
      <c r="J39" s="204"/>
      <c r="K39" s="204"/>
      <c r="L39" s="204"/>
      <c r="M39" s="204"/>
      <c r="N39" s="204"/>
      <c r="O39" s="204"/>
      <c r="P39" s="204"/>
      <c r="Q39" s="204"/>
      <c r="R39" s="204"/>
      <c r="S39" s="205"/>
      <c r="T39" s="205"/>
      <c r="U39" s="208">
        <f>U33+U38</f>
        <v>1267.19</v>
      </c>
      <c r="V39" s="208">
        <f>V33+V38</f>
        <v>1267.19</v>
      </c>
      <c r="W39" s="205"/>
      <c r="X39" s="205"/>
      <c r="Y39" s="205"/>
      <c r="Z39" s="205"/>
      <c r="AA39" s="205"/>
      <c r="AB39" s="205"/>
    </row>
    <row r="40" spans="1:28" s="207" customFormat="1" ht="15">
      <c r="A40" s="197"/>
      <c r="B40" s="202" t="s">
        <v>593</v>
      </c>
      <c r="C40" s="203">
        <v>1677.01</v>
      </c>
      <c r="D40" s="203">
        <v>4636.43</v>
      </c>
      <c r="E40" s="203">
        <v>850.8</v>
      </c>
      <c r="F40" s="203">
        <v>850.8</v>
      </c>
      <c r="G40" s="203">
        <v>621.62</v>
      </c>
      <c r="H40" s="204">
        <v>621.62</v>
      </c>
      <c r="I40" s="204">
        <v>621.62</v>
      </c>
      <c r="J40" s="204"/>
      <c r="K40" s="204"/>
      <c r="L40" s="204"/>
      <c r="M40" s="204"/>
      <c r="N40" s="204"/>
      <c r="O40" s="204"/>
      <c r="P40" s="204"/>
      <c r="Q40" s="204"/>
      <c r="R40" s="204"/>
      <c r="S40" s="205"/>
      <c r="T40" s="205"/>
      <c r="U40" s="206"/>
      <c r="V40" s="206"/>
      <c r="W40" s="205"/>
      <c r="X40" s="205"/>
      <c r="Y40" s="205"/>
      <c r="Z40" s="205"/>
      <c r="AA40" s="205"/>
      <c r="AB40" s="205"/>
    </row>
    <row r="41" spans="1:28" ht="17.25" customHeight="1">
      <c r="A41" s="184"/>
      <c r="B41" s="210" t="s">
        <v>594</v>
      </c>
      <c r="C41" s="186"/>
      <c r="D41" s="186"/>
      <c r="E41" s="186"/>
      <c r="F41" s="186"/>
      <c r="G41" s="186"/>
      <c r="H41" s="187"/>
      <c r="I41" s="187"/>
      <c r="J41" s="187"/>
      <c r="K41" s="187"/>
      <c r="L41" s="187"/>
      <c r="M41" s="187"/>
      <c r="N41" s="187"/>
      <c r="O41" s="187"/>
      <c r="P41" s="187"/>
      <c r="Q41" s="187"/>
      <c r="R41" s="187"/>
      <c r="S41" s="185"/>
      <c r="T41" s="185"/>
      <c r="U41" s="188"/>
      <c r="V41" s="188"/>
      <c r="W41" s="185"/>
      <c r="X41" s="185"/>
      <c r="Y41" s="185"/>
      <c r="Z41" s="185"/>
      <c r="AA41" s="185"/>
      <c r="AB41" s="185"/>
    </row>
    <row r="42" spans="1:28" ht="19.5" customHeight="1">
      <c r="A42" s="211"/>
      <c r="B42" s="192" t="s">
        <v>595</v>
      </c>
      <c r="C42" s="194">
        <f aca="true" t="shared" si="8" ref="C42:I42">SUM(C30:C40)</f>
        <v>3464.8</v>
      </c>
      <c r="D42" s="194">
        <f t="shared" si="8"/>
        <v>7048.89</v>
      </c>
      <c r="E42" s="194">
        <f t="shared" si="8"/>
        <v>1445.25</v>
      </c>
      <c r="F42" s="194">
        <f t="shared" si="8"/>
        <v>1552.86</v>
      </c>
      <c r="G42" s="194">
        <f t="shared" si="8"/>
        <v>2070.4399999999996</v>
      </c>
      <c r="H42" s="194">
        <f t="shared" si="8"/>
        <v>3202.95</v>
      </c>
      <c r="I42" s="194">
        <f t="shared" si="8"/>
        <v>3205.6699999999996</v>
      </c>
      <c r="J42" s="194">
        <f>SUM(J30:J32)</f>
        <v>325.96000000000004</v>
      </c>
      <c r="K42" s="194">
        <f>SUM(K30:K32)</f>
        <v>1238.13</v>
      </c>
      <c r="L42" s="194">
        <f>SUM(L30:L32)</f>
        <v>2075.16</v>
      </c>
      <c r="M42" s="194">
        <f>SUM(M30:M32)</f>
        <v>2494.9900000000002</v>
      </c>
      <c r="N42" s="194">
        <f>SUM(N30:N32)</f>
        <v>1785.34</v>
      </c>
      <c r="O42" s="185"/>
      <c r="P42" s="185"/>
      <c r="Q42" s="185"/>
      <c r="R42" s="185"/>
      <c r="S42" s="185"/>
      <c r="T42" s="185"/>
      <c r="U42" s="194"/>
      <c r="V42" s="194"/>
      <c r="W42" s="185"/>
      <c r="X42" s="185"/>
      <c r="Y42" s="185"/>
      <c r="Z42" s="185"/>
      <c r="AA42" s="185"/>
      <c r="AB42" s="185"/>
    </row>
    <row r="43" spans="1:28" ht="30" customHeight="1">
      <c r="A43" s="439" t="s">
        <v>596</v>
      </c>
      <c r="B43" s="439"/>
      <c r="C43" s="194">
        <f aca="true" t="shared" si="9" ref="C43:N43">+C27+C28+C42</f>
        <v>7225.17</v>
      </c>
      <c r="D43" s="194">
        <f t="shared" si="9"/>
        <v>11623.68</v>
      </c>
      <c r="E43" s="194">
        <f t="shared" si="9"/>
        <v>5185.37</v>
      </c>
      <c r="F43" s="194">
        <f t="shared" si="9"/>
        <v>5600.799999999999</v>
      </c>
      <c r="G43" s="194">
        <f t="shared" si="9"/>
        <v>6295.92</v>
      </c>
      <c r="H43" s="194">
        <f t="shared" si="9"/>
        <v>7455.25</v>
      </c>
      <c r="I43" s="194">
        <f t="shared" si="9"/>
        <v>7677.639999999999</v>
      </c>
      <c r="J43" s="194">
        <f t="shared" si="9"/>
        <v>3891.62</v>
      </c>
      <c r="K43" s="194">
        <f t="shared" si="9"/>
        <v>4807.3099999999995</v>
      </c>
      <c r="L43" s="194">
        <f t="shared" si="9"/>
        <v>5887.209999999999</v>
      </c>
      <c r="M43" s="194">
        <f t="shared" si="9"/>
        <v>6530.84</v>
      </c>
      <c r="N43" s="194">
        <f t="shared" si="9"/>
        <v>6402.870000000001</v>
      </c>
      <c r="O43" s="194">
        <f aca="true" t="shared" si="10" ref="O43:T43">+O27+O28+O33</f>
        <v>7344.65</v>
      </c>
      <c r="P43" s="194">
        <f t="shared" si="10"/>
        <v>8727.03</v>
      </c>
      <c r="Q43" s="194">
        <f t="shared" si="10"/>
        <v>10381.23</v>
      </c>
      <c r="R43" s="194">
        <f t="shared" si="10"/>
        <v>10996.55</v>
      </c>
      <c r="S43" s="194">
        <f t="shared" si="10"/>
        <v>6212.02</v>
      </c>
      <c r="T43" s="194">
        <f t="shared" si="10"/>
        <v>8024.96</v>
      </c>
      <c r="U43" s="194">
        <f>+U27+U28+U39</f>
        <v>9518.35</v>
      </c>
      <c r="V43" s="194">
        <f>+V27+V28+V39</f>
        <v>9518.35</v>
      </c>
      <c r="W43" s="185"/>
      <c r="X43" s="185"/>
      <c r="Y43" s="185"/>
      <c r="Z43" s="185"/>
      <c r="AA43" s="185"/>
      <c r="AB43" s="185"/>
    </row>
    <row r="44" spans="1:28" ht="30" customHeight="1" hidden="1">
      <c r="A44" s="199"/>
      <c r="B44" s="199"/>
      <c r="C44" s="194">
        <f aca="true" t="shared" si="11" ref="C44:V44">C43-C20</f>
        <v>0</v>
      </c>
      <c r="D44" s="194">
        <f t="shared" si="11"/>
        <v>0</v>
      </c>
      <c r="E44" s="194">
        <f t="shared" si="11"/>
        <v>0</v>
      </c>
      <c r="F44" s="194">
        <f t="shared" si="11"/>
        <v>0</v>
      </c>
      <c r="G44" s="194">
        <f t="shared" si="11"/>
        <v>0</v>
      </c>
      <c r="H44" s="194">
        <f t="shared" si="11"/>
        <v>0</v>
      </c>
      <c r="I44" s="194">
        <f t="shared" si="11"/>
        <v>0</v>
      </c>
      <c r="J44" s="194">
        <f t="shared" si="11"/>
        <v>0</v>
      </c>
      <c r="K44" s="194">
        <f t="shared" si="11"/>
        <v>0</v>
      </c>
      <c r="L44" s="194">
        <f t="shared" si="11"/>
        <v>0</v>
      </c>
      <c r="M44" s="194">
        <f t="shared" si="11"/>
        <v>0</v>
      </c>
      <c r="N44" s="194">
        <f t="shared" si="11"/>
        <v>0</v>
      </c>
      <c r="O44" s="194">
        <f t="shared" si="11"/>
        <v>0</v>
      </c>
      <c r="P44" s="194">
        <f t="shared" si="11"/>
        <v>0</v>
      </c>
      <c r="Q44" s="194">
        <f t="shared" si="11"/>
        <v>0</v>
      </c>
      <c r="R44" s="194">
        <f t="shared" si="11"/>
        <v>0</v>
      </c>
      <c r="S44" s="194">
        <f t="shared" si="11"/>
        <v>0</v>
      </c>
      <c r="T44" s="194">
        <f t="shared" si="11"/>
        <v>0</v>
      </c>
      <c r="U44" s="194">
        <f t="shared" si="11"/>
        <v>0</v>
      </c>
      <c r="V44" s="194">
        <f t="shared" si="11"/>
        <v>0</v>
      </c>
      <c r="W44" s="185"/>
      <c r="X44" s="185"/>
      <c r="Y44" s="185"/>
      <c r="Z44" s="185"/>
      <c r="AA44" s="185"/>
      <c r="AB44" s="185"/>
    </row>
    <row r="45" spans="1:28" ht="9.75" customHeight="1">
      <c r="A45" s="184"/>
      <c r="B45" s="200"/>
      <c r="C45" s="193"/>
      <c r="D45" s="193"/>
      <c r="E45" s="193"/>
      <c r="F45" s="193"/>
      <c r="G45" s="193"/>
      <c r="H45" s="187"/>
      <c r="I45" s="187"/>
      <c r="J45" s="187"/>
      <c r="K45" s="187"/>
      <c r="L45" s="187"/>
      <c r="M45" s="187"/>
      <c r="N45" s="187"/>
      <c r="O45" s="187"/>
      <c r="P45" s="187"/>
      <c r="Q45" s="187"/>
      <c r="R45" s="187"/>
      <c r="S45" s="185"/>
      <c r="T45" s="185"/>
      <c r="U45" s="185"/>
      <c r="V45" s="185"/>
      <c r="W45" s="185"/>
      <c r="X45" s="185"/>
      <c r="Y45" s="185"/>
      <c r="Z45" s="185"/>
      <c r="AA45" s="185"/>
      <c r="AB45" s="185"/>
    </row>
    <row r="46" spans="1:28" ht="32.25" customHeight="1">
      <c r="A46" s="182" t="s">
        <v>524</v>
      </c>
      <c r="B46" s="212" t="s">
        <v>597</v>
      </c>
      <c r="C46" s="213" t="s">
        <v>526</v>
      </c>
      <c r="D46" s="183" t="s">
        <v>527</v>
      </c>
      <c r="E46" s="183" t="s">
        <v>528</v>
      </c>
      <c r="F46" s="183" t="s">
        <v>529</v>
      </c>
      <c r="G46" s="183" t="s">
        <v>530</v>
      </c>
      <c r="H46" s="214" t="s">
        <v>531</v>
      </c>
      <c r="I46" s="214" t="s">
        <v>532</v>
      </c>
      <c r="J46" s="214" t="s">
        <v>533</v>
      </c>
      <c r="K46" s="214" t="s">
        <v>534</v>
      </c>
      <c r="L46" s="214" t="s">
        <v>535</v>
      </c>
      <c r="M46" s="214" t="s">
        <v>14</v>
      </c>
      <c r="N46" s="215" t="s">
        <v>15</v>
      </c>
      <c r="O46" s="215" t="s">
        <v>108</v>
      </c>
      <c r="P46" s="215" t="s">
        <v>16</v>
      </c>
      <c r="Q46" s="215" t="s">
        <v>17</v>
      </c>
      <c r="R46" s="215" t="s">
        <v>18</v>
      </c>
      <c r="S46" s="215" t="s">
        <v>19</v>
      </c>
      <c r="T46" s="215" t="s">
        <v>20</v>
      </c>
      <c r="U46" s="215" t="s">
        <v>21</v>
      </c>
      <c r="V46" s="215" t="s">
        <v>22</v>
      </c>
      <c r="W46" s="183" t="s">
        <v>23</v>
      </c>
      <c r="X46" s="183" t="s">
        <v>476</v>
      </c>
      <c r="Y46" s="183" t="s">
        <v>477</v>
      </c>
      <c r="Z46" s="183" t="s">
        <v>478</v>
      </c>
      <c r="AA46" s="183" t="s">
        <v>479</v>
      </c>
      <c r="AB46" s="183" t="s">
        <v>480</v>
      </c>
    </row>
    <row r="47" spans="1:28" ht="15">
      <c r="A47" s="184" t="s">
        <v>547</v>
      </c>
      <c r="B47" s="216" t="s">
        <v>598</v>
      </c>
      <c r="C47" s="217">
        <v>733.6</v>
      </c>
      <c r="D47" s="217">
        <v>4721.56</v>
      </c>
      <c r="E47" s="217">
        <v>4781.36</v>
      </c>
      <c r="F47" s="217">
        <v>7585.52</v>
      </c>
      <c r="G47" s="217">
        <v>8325.16</v>
      </c>
      <c r="H47" s="218">
        <v>9051.99</v>
      </c>
      <c r="I47" s="187">
        <v>9284.46</v>
      </c>
      <c r="J47" s="187">
        <v>2541.4</v>
      </c>
      <c r="K47" s="187">
        <v>619.51</v>
      </c>
      <c r="L47" s="187">
        <v>672.42</v>
      </c>
      <c r="M47" s="187">
        <v>742.57</v>
      </c>
      <c r="N47" s="187">
        <v>816.59</v>
      </c>
      <c r="O47" s="187">
        <v>954.52</v>
      </c>
      <c r="P47" s="187">
        <v>1261.88</v>
      </c>
      <c r="Q47" s="187">
        <v>1497.85</v>
      </c>
      <c r="R47" s="187">
        <v>1332.4</v>
      </c>
      <c r="S47" s="185">
        <v>1089.99</v>
      </c>
      <c r="T47" s="185">
        <v>842.6</v>
      </c>
      <c r="U47" s="188">
        <v>1021.52</v>
      </c>
      <c r="V47" s="188">
        <v>1432.71</v>
      </c>
      <c r="W47" s="196">
        <f>'1c (Rev.)'!C12</f>
        <v>1416.616035912</v>
      </c>
      <c r="X47" s="196">
        <f>'1c (Rev.)'!D12</f>
        <v>1673.3662163002334</v>
      </c>
      <c r="Y47" s="196">
        <f>'1c (Rev.)'!E12</f>
        <v>2098.507817695349</v>
      </c>
      <c r="Z47" s="196">
        <f>'1c (Rev.)'!F12</f>
        <v>2628.2552877785915</v>
      </c>
      <c r="AA47" s="196">
        <f>'1c (Rev.)'!G12</f>
        <v>3352.750661149669</v>
      </c>
      <c r="AB47" s="196">
        <f>'1c (Rev.)'!H12</f>
        <v>4142.7514645805895</v>
      </c>
    </row>
    <row r="48" spans="1:28" ht="15">
      <c r="A48" s="184" t="s">
        <v>549</v>
      </c>
      <c r="B48" s="216" t="s">
        <v>599</v>
      </c>
      <c r="C48" s="217">
        <v>502.71</v>
      </c>
      <c r="D48" s="217">
        <v>3223.96</v>
      </c>
      <c r="E48" s="217">
        <v>2980.76</v>
      </c>
      <c r="F48" s="217">
        <v>73.7</v>
      </c>
      <c r="G48" s="217">
        <v>179.93</v>
      </c>
      <c r="H48" s="218">
        <v>306.23</v>
      </c>
      <c r="I48" s="187">
        <v>215.83</v>
      </c>
      <c r="J48" s="187">
        <f>2696.15-J47</f>
        <v>154.75</v>
      </c>
      <c r="K48" s="187">
        <v>52.26</v>
      </c>
      <c r="L48" s="187">
        <v>25.12</v>
      </c>
      <c r="M48" s="187">
        <v>60.9</v>
      </c>
      <c r="N48" s="187">
        <v>68.7</v>
      </c>
      <c r="O48" s="187">
        <v>117.51</v>
      </c>
      <c r="P48" s="187">
        <v>192.91</v>
      </c>
      <c r="Q48" s="187">
        <v>226.41</v>
      </c>
      <c r="R48" s="187">
        <v>123.76</v>
      </c>
      <c r="S48" s="185">
        <v>73.96</v>
      </c>
      <c r="T48" s="185">
        <v>124.99</v>
      </c>
      <c r="U48" s="188">
        <v>167.72</v>
      </c>
      <c r="V48" s="188">
        <v>104.12</v>
      </c>
      <c r="W48" s="196">
        <f>'10 (NTI)'!C17</f>
        <v>95.89</v>
      </c>
      <c r="X48" s="196">
        <f>'10 (NTI)'!D17</f>
        <v>100.88</v>
      </c>
      <c r="Y48" s="196">
        <f>'10 (NTI)'!E17</f>
        <v>105.71000000000001</v>
      </c>
      <c r="Z48" s="196">
        <f>'10 (NTI)'!F17</f>
        <v>110.91999999999999</v>
      </c>
      <c r="AA48" s="196">
        <f>'10 (NTI)'!G17</f>
        <v>116.53999999999999</v>
      </c>
      <c r="AB48" s="196">
        <f>'10 (NTI)'!H17</f>
        <v>123.6</v>
      </c>
    </row>
    <row r="49" spans="1:28" ht="15">
      <c r="A49" s="184" t="s">
        <v>551</v>
      </c>
      <c r="B49" s="216" t="s">
        <v>600</v>
      </c>
      <c r="C49" s="217"/>
      <c r="D49" s="217"/>
      <c r="E49" s="217"/>
      <c r="F49" s="217"/>
      <c r="G49" s="217"/>
      <c r="H49" s="218"/>
      <c r="I49" s="187"/>
      <c r="J49" s="187"/>
      <c r="K49" s="187"/>
      <c r="L49" s="187">
        <v>0</v>
      </c>
      <c r="M49" s="187">
        <v>0</v>
      </c>
      <c r="N49" s="187">
        <v>0</v>
      </c>
      <c r="O49" s="187">
        <v>0</v>
      </c>
      <c r="P49" s="187">
        <v>0</v>
      </c>
      <c r="Q49" s="187">
        <v>0</v>
      </c>
      <c r="R49" s="187">
        <v>0</v>
      </c>
      <c r="S49" s="185">
        <v>0</v>
      </c>
      <c r="T49" s="185">
        <v>0</v>
      </c>
      <c r="U49" s="188">
        <v>0</v>
      </c>
      <c r="V49" s="188">
        <v>0</v>
      </c>
      <c r="W49" s="185"/>
      <c r="X49" s="185"/>
      <c r="Y49" s="185"/>
      <c r="Z49" s="185"/>
      <c r="AA49" s="185"/>
      <c r="AB49" s="185"/>
    </row>
    <row r="50" spans="1:28" ht="15.75">
      <c r="A50" s="184" t="s">
        <v>553</v>
      </c>
      <c r="B50" s="212" t="s">
        <v>601</v>
      </c>
      <c r="C50" s="217">
        <f aca="true" t="shared" si="12" ref="C50:T50">+C47+C48</f>
        <v>1236.31</v>
      </c>
      <c r="D50" s="217">
        <f t="shared" si="12"/>
        <v>7945.52</v>
      </c>
      <c r="E50" s="219">
        <f t="shared" si="12"/>
        <v>7762.12</v>
      </c>
      <c r="F50" s="219">
        <f t="shared" si="12"/>
        <v>7659.22</v>
      </c>
      <c r="G50" s="219">
        <f t="shared" si="12"/>
        <v>8505.09</v>
      </c>
      <c r="H50" s="214">
        <f t="shared" si="12"/>
        <v>9358.22</v>
      </c>
      <c r="I50" s="214">
        <f t="shared" si="12"/>
        <v>9500.289999999999</v>
      </c>
      <c r="J50" s="214">
        <f t="shared" si="12"/>
        <v>2696.15</v>
      </c>
      <c r="K50" s="194">
        <f t="shared" si="12"/>
        <v>671.77</v>
      </c>
      <c r="L50" s="194">
        <f t="shared" si="12"/>
        <v>697.54</v>
      </c>
      <c r="M50" s="194">
        <f t="shared" si="12"/>
        <v>803.47</v>
      </c>
      <c r="N50" s="194">
        <f t="shared" si="12"/>
        <v>885.2900000000001</v>
      </c>
      <c r="O50" s="194">
        <f t="shared" si="12"/>
        <v>1072.03</v>
      </c>
      <c r="P50" s="194">
        <f t="shared" si="12"/>
        <v>1454.7900000000002</v>
      </c>
      <c r="Q50" s="194">
        <f t="shared" si="12"/>
        <v>1724.26</v>
      </c>
      <c r="R50" s="194">
        <f t="shared" si="12"/>
        <v>1456.16</v>
      </c>
      <c r="S50" s="194">
        <f t="shared" si="12"/>
        <v>1163.95</v>
      </c>
      <c r="T50" s="194">
        <f t="shared" si="12"/>
        <v>967.59</v>
      </c>
      <c r="U50" s="195">
        <f>+U47+U48</f>
        <v>1189.24</v>
      </c>
      <c r="V50" s="195">
        <f>+V47+V48</f>
        <v>1536.83</v>
      </c>
      <c r="W50" s="195">
        <f aca="true" t="shared" si="13" ref="W50:AB50">+W47+W48</f>
        <v>1512.506035912</v>
      </c>
      <c r="X50" s="195">
        <f t="shared" si="13"/>
        <v>1774.2462163002333</v>
      </c>
      <c r="Y50" s="195">
        <f t="shared" si="13"/>
        <v>2204.217817695349</v>
      </c>
      <c r="Z50" s="195">
        <f t="shared" si="13"/>
        <v>2739.1752877785916</v>
      </c>
      <c r="AA50" s="195">
        <f t="shared" si="13"/>
        <v>3469.290661149669</v>
      </c>
      <c r="AB50" s="195">
        <f t="shared" si="13"/>
        <v>4266.35146458059</v>
      </c>
    </row>
    <row r="51" spans="1:28" ht="28.5" customHeight="1">
      <c r="A51" s="197" t="s">
        <v>555</v>
      </c>
      <c r="B51" s="198" t="s">
        <v>602</v>
      </c>
      <c r="C51" s="186">
        <f>1207.17-89.48-44.92+0.7+60.89-16.78</f>
        <v>1117.5800000000002</v>
      </c>
      <c r="D51" s="186">
        <f>8212.69-767.79-301.69+3.71-38.82-79.87</f>
        <v>7028.230000000001</v>
      </c>
      <c r="E51" s="186">
        <f>7865.54-354.35-104.69+2.87+8.58-25.17-30.99</f>
        <v>7361.79</v>
      </c>
      <c r="F51" s="186">
        <f>8119.12-290.12-157.63-29.18-27.03+0.14-186.29</f>
        <v>7429.01</v>
      </c>
      <c r="G51" s="186">
        <f>8310.84-366.47-194.86-30.86-31.37+0.02+63.29</f>
        <v>7750.590000000001</v>
      </c>
      <c r="H51" s="187">
        <v>8734.34</v>
      </c>
      <c r="I51" s="187">
        <v>9008.27</v>
      </c>
      <c r="J51" s="187">
        <f>1899.71+105.77+146.71+21.3-62.24+0.16-34.3-0.01</f>
        <v>2077.1</v>
      </c>
      <c r="K51" s="187">
        <f>106.12+133.64+24.18-0.31-34.56-4.81-1.24+6.15+8.64-0.09</f>
        <v>237.72</v>
      </c>
      <c r="L51" s="187">
        <f>91.47+144.91+23.92-0.24-33.52-4.85-1.62+1.72-0.05</f>
        <v>221.73999999999998</v>
      </c>
      <c r="M51" s="187">
        <f>86.13+171.58+28.4-71.9-0.01+26.97</f>
        <v>241.17000000000002</v>
      </c>
      <c r="N51" s="187">
        <f>93.1+183.88+29.56-81.14+0.27+32.57</f>
        <v>258.24000000000007</v>
      </c>
      <c r="O51" s="187">
        <f>130.37+286.44+42.74-74.4+3.26</f>
        <v>388.40999999999997</v>
      </c>
      <c r="P51" s="187">
        <f>149.34+339.14+56.15-90.55+0.63</f>
        <v>454.71</v>
      </c>
      <c r="Q51" s="187">
        <f>184.75+378.51+52.84-89.17-1.77</f>
        <v>525.1600000000001</v>
      </c>
      <c r="R51" s="187">
        <f>179.65+391.57+57.25-101.12+3.37</f>
        <v>530.72</v>
      </c>
      <c r="S51" s="185">
        <f>127.66+577.8+39.01-89.01+1.29+20.31-0.34</f>
        <v>676.7199999999998</v>
      </c>
      <c r="T51" s="185">
        <f>126.93+358.34+42.19-97.75+0.47+2.91-1.6</f>
        <v>431.49000000000007</v>
      </c>
      <c r="U51" s="188">
        <f>302.34+189.18</f>
        <v>491.52</v>
      </c>
      <c r="V51" s="188">
        <f>362.59+214.37</f>
        <v>576.96</v>
      </c>
      <c r="W51" s="196">
        <f>'1.3a((O&amp;M)'!D9</f>
        <v>614.3198255435827</v>
      </c>
      <c r="X51" s="196">
        <f>'1.3a((O&amp;M)'!D18</f>
        <v>706.1514401066502</v>
      </c>
      <c r="Y51" s="196">
        <f>'1.3a((O&amp;M)'!D27</f>
        <v>809.8716326920794</v>
      </c>
      <c r="Z51" s="196">
        <f>'1.3a((O&amp;M)'!D36</f>
        <v>918.9527115650757</v>
      </c>
      <c r="AA51" s="196">
        <f>'1.3a((O&amp;M)'!D45</f>
        <v>1038.58677032044</v>
      </c>
      <c r="AB51" s="196">
        <f>'1.3a((O&amp;M)'!D54</f>
        <v>1161.0053853491113</v>
      </c>
    </row>
    <row r="52" spans="1:28" ht="15.75">
      <c r="A52" s="184" t="s">
        <v>557</v>
      </c>
      <c r="B52" s="185" t="s">
        <v>603</v>
      </c>
      <c r="C52" s="193">
        <f aca="true" t="shared" si="14" ref="C52:T52">+C50-C51</f>
        <v>118.72999999999979</v>
      </c>
      <c r="D52" s="193">
        <f t="shared" si="14"/>
        <v>917.289999999999</v>
      </c>
      <c r="E52" s="193">
        <f t="shared" si="14"/>
        <v>400.3299999999999</v>
      </c>
      <c r="F52" s="193">
        <f t="shared" si="14"/>
        <v>230.21000000000004</v>
      </c>
      <c r="G52" s="193">
        <f t="shared" si="14"/>
        <v>754.4999999999991</v>
      </c>
      <c r="H52" s="194">
        <f t="shared" si="14"/>
        <v>623.8799999999992</v>
      </c>
      <c r="I52" s="194">
        <f t="shared" si="14"/>
        <v>492.0199999999986</v>
      </c>
      <c r="J52" s="194">
        <f t="shared" si="14"/>
        <v>619.0500000000002</v>
      </c>
      <c r="K52" s="194">
        <f t="shared" si="14"/>
        <v>434.04999999999995</v>
      </c>
      <c r="L52" s="194">
        <f t="shared" si="14"/>
        <v>475.79999999999995</v>
      </c>
      <c r="M52" s="194">
        <f t="shared" si="14"/>
        <v>562.3</v>
      </c>
      <c r="N52" s="194">
        <f t="shared" si="14"/>
        <v>627.05</v>
      </c>
      <c r="O52" s="194">
        <f t="shared" si="14"/>
        <v>683.62</v>
      </c>
      <c r="P52" s="194">
        <f t="shared" si="14"/>
        <v>1000.0800000000002</v>
      </c>
      <c r="Q52" s="194">
        <f t="shared" si="14"/>
        <v>1199.1</v>
      </c>
      <c r="R52" s="194">
        <f t="shared" si="14"/>
        <v>925.44</v>
      </c>
      <c r="S52" s="194">
        <f t="shared" si="14"/>
        <v>487.23000000000025</v>
      </c>
      <c r="T52" s="194">
        <f t="shared" si="14"/>
        <v>536.0999999999999</v>
      </c>
      <c r="U52" s="195">
        <f>+U50-U51</f>
        <v>697.72</v>
      </c>
      <c r="V52" s="195">
        <f>+V50-V51</f>
        <v>959.8699999999999</v>
      </c>
      <c r="W52" s="195">
        <f aca="true" t="shared" si="15" ref="W52:AB52">+W50-W51</f>
        <v>898.1862103684173</v>
      </c>
      <c r="X52" s="195">
        <f t="shared" si="15"/>
        <v>1068.0947761935831</v>
      </c>
      <c r="Y52" s="195">
        <f t="shared" si="15"/>
        <v>1394.3461850032695</v>
      </c>
      <c r="Z52" s="195">
        <f t="shared" si="15"/>
        <v>1820.2225762135158</v>
      </c>
      <c r="AA52" s="195">
        <f t="shared" si="15"/>
        <v>2430.703890829229</v>
      </c>
      <c r="AB52" s="195">
        <f t="shared" si="15"/>
        <v>3105.3460792314786</v>
      </c>
    </row>
    <row r="53" spans="1:28" ht="15.75">
      <c r="A53" s="184" t="s">
        <v>559</v>
      </c>
      <c r="B53" s="192" t="s">
        <v>604</v>
      </c>
      <c r="C53" s="193"/>
      <c r="D53" s="193"/>
      <c r="E53" s="193"/>
      <c r="F53" s="193"/>
      <c r="G53" s="193"/>
      <c r="H53" s="194"/>
      <c r="I53" s="194"/>
      <c r="J53" s="194"/>
      <c r="K53" s="194"/>
      <c r="L53" s="194"/>
      <c r="M53" s="194"/>
      <c r="N53" s="194"/>
      <c r="O53" s="194"/>
      <c r="P53" s="194"/>
      <c r="Q53" s="194"/>
      <c r="R53" s="194"/>
      <c r="S53" s="185"/>
      <c r="T53" s="185"/>
      <c r="U53" s="188"/>
      <c r="V53" s="188"/>
      <c r="W53" s="185"/>
      <c r="X53" s="185"/>
      <c r="Y53" s="185"/>
      <c r="Z53" s="185"/>
      <c r="AA53" s="185"/>
      <c r="AB53" s="185"/>
    </row>
    <row r="54" spans="1:28" ht="15">
      <c r="A54" s="184" t="s">
        <v>561</v>
      </c>
      <c r="B54" s="190" t="s">
        <v>605</v>
      </c>
      <c r="C54" s="186">
        <v>44.92</v>
      </c>
      <c r="D54" s="186">
        <v>301.69</v>
      </c>
      <c r="E54" s="186">
        <v>104.69</v>
      </c>
      <c r="F54" s="186">
        <v>157.63</v>
      </c>
      <c r="G54" s="186">
        <v>194.86</v>
      </c>
      <c r="H54" s="187">
        <v>217.35</v>
      </c>
      <c r="I54" s="187">
        <v>223.81</v>
      </c>
      <c r="J54" s="187">
        <v>223</v>
      </c>
      <c r="K54" s="187">
        <f>242.43</f>
        <v>242.43</v>
      </c>
      <c r="L54" s="187">
        <f>263.44</f>
        <v>263.44</v>
      </c>
      <c r="M54" s="187">
        <f>291.78</f>
        <v>291.78</v>
      </c>
      <c r="N54" s="187">
        <v>317.5</v>
      </c>
      <c r="O54" s="187">
        <v>358.03</v>
      </c>
      <c r="P54" s="187">
        <v>395.5</v>
      </c>
      <c r="Q54" s="187">
        <v>416.52</v>
      </c>
      <c r="R54" s="187">
        <f>463.14-0.01</f>
        <v>463.13</v>
      </c>
      <c r="S54" s="185">
        <f>286.54-0.01</f>
        <v>286.53000000000003</v>
      </c>
      <c r="T54" s="185">
        <v>274.06</v>
      </c>
      <c r="U54" s="188">
        <v>335.94</v>
      </c>
      <c r="V54" s="188">
        <v>520.15</v>
      </c>
      <c r="W54" s="196">
        <f>'1.1b (Dep)'!E32</f>
        <v>540.85</v>
      </c>
      <c r="X54" s="196">
        <f>'1.1b (Dep)'!G64</f>
        <v>599.45</v>
      </c>
      <c r="Y54" s="196">
        <f>'1.1b (Dep)'!G96</f>
        <v>674.0200000000001</v>
      </c>
      <c r="Z54" s="196">
        <f>'1.1b (Dep)'!G128</f>
        <v>828.6999999999999</v>
      </c>
      <c r="AA54" s="196">
        <f>'1.1b (Dep)'!G160</f>
        <v>1056.1</v>
      </c>
      <c r="AB54" s="196">
        <f>'1.1b (Dep)'!G192</f>
        <v>1350.9500000000003</v>
      </c>
    </row>
    <row r="55" spans="1:28" ht="15">
      <c r="A55" s="184" t="s">
        <v>563</v>
      </c>
      <c r="B55" s="190" t="s">
        <v>606</v>
      </c>
      <c r="C55" s="186">
        <f>89.48-29.08</f>
        <v>60.400000000000006</v>
      </c>
      <c r="D55" s="186">
        <f>767.79-152.19</f>
        <v>615.5999999999999</v>
      </c>
      <c r="E55" s="186">
        <f>354.35-58.71</f>
        <v>295.64000000000004</v>
      </c>
      <c r="F55" s="186">
        <f>290.12-40.74</f>
        <v>249.38</v>
      </c>
      <c r="G55" s="186">
        <f>366.47-30.32</f>
        <v>336.15000000000003</v>
      </c>
      <c r="H55" s="187">
        <v>341.88</v>
      </c>
      <c r="I55" s="187">
        <v>234.11</v>
      </c>
      <c r="J55" s="187">
        <v>170.89</v>
      </c>
      <c r="K55" s="187">
        <f>163.12-28.71</f>
        <v>134.41</v>
      </c>
      <c r="L55" s="187">
        <f>167.77-25.39</f>
        <v>142.38</v>
      </c>
      <c r="M55" s="187">
        <f>184.39-26.97</f>
        <v>157.42</v>
      </c>
      <c r="N55" s="187">
        <f>195.31-32.57</f>
        <v>162.74</v>
      </c>
      <c r="O55" s="187">
        <f>240.72-52.03</f>
        <v>188.69</v>
      </c>
      <c r="P55" s="187">
        <f>301.94-82.97</f>
        <v>218.97</v>
      </c>
      <c r="Q55" s="187">
        <f>364.93-98.6</f>
        <v>266.33000000000004</v>
      </c>
      <c r="R55" s="187">
        <f>387.2-115.53</f>
        <v>271.66999999999996</v>
      </c>
      <c r="S55" s="185">
        <f>210.63-78</f>
        <v>132.63</v>
      </c>
      <c r="T55" s="185">
        <f>253.18-125.09</f>
        <v>128.09</v>
      </c>
      <c r="U55" s="188">
        <v>205.51</v>
      </c>
      <c r="V55" s="188">
        <v>316.49</v>
      </c>
      <c r="W55" s="196">
        <f>'IDC CAL'!E7</f>
        <v>0</v>
      </c>
      <c r="X55" s="196">
        <f>'IDC CAL'!F7</f>
        <v>0</v>
      </c>
      <c r="Y55" s="196">
        <f>'IDC CAL'!G7</f>
        <v>0</v>
      </c>
      <c r="Z55" s="196">
        <f>'IDC CAL'!H7</f>
        <v>0</v>
      </c>
      <c r="AA55" s="196">
        <f>'IDC CAL'!I7</f>
        <v>0</v>
      </c>
      <c r="AB55" s="196">
        <f>'IDC CAL'!J7</f>
        <v>0</v>
      </c>
    </row>
    <row r="56" spans="1:28" ht="15">
      <c r="A56" s="184" t="s">
        <v>567</v>
      </c>
      <c r="B56" s="190" t="s">
        <v>607</v>
      </c>
      <c r="C56" s="186"/>
      <c r="D56" s="186"/>
      <c r="E56" s="186"/>
      <c r="F56" s="186"/>
      <c r="G56" s="186"/>
      <c r="H56" s="187"/>
      <c r="I56" s="187"/>
      <c r="J56" s="187"/>
      <c r="K56" s="187"/>
      <c r="L56" s="187"/>
      <c r="M56" s="187"/>
      <c r="N56" s="187"/>
      <c r="O56" s="187"/>
      <c r="P56" s="187"/>
      <c r="Q56" s="187"/>
      <c r="R56" s="187"/>
      <c r="S56" s="185"/>
      <c r="T56" s="185"/>
      <c r="U56" s="188"/>
      <c r="V56" s="188"/>
      <c r="W56" s="185"/>
      <c r="X56" s="185"/>
      <c r="Y56" s="185"/>
      <c r="Z56" s="185"/>
      <c r="AA56" s="185"/>
      <c r="AB56" s="185"/>
    </row>
    <row r="57" spans="1:28" ht="15.75">
      <c r="A57" s="184" t="s">
        <v>569</v>
      </c>
      <c r="B57" s="192" t="s">
        <v>608</v>
      </c>
      <c r="C57" s="186"/>
      <c r="D57" s="186"/>
      <c r="E57" s="186"/>
      <c r="F57" s="186"/>
      <c r="G57" s="186"/>
      <c r="H57" s="187"/>
      <c r="I57" s="187"/>
      <c r="J57" s="187"/>
      <c r="K57" s="194">
        <f aca="true" t="shared" si="16" ref="K57:T57">K54+K55+K56</f>
        <v>376.84000000000003</v>
      </c>
      <c r="L57" s="194">
        <f t="shared" si="16"/>
        <v>405.82</v>
      </c>
      <c r="M57" s="194">
        <f t="shared" si="16"/>
        <v>449.19999999999993</v>
      </c>
      <c r="N57" s="194">
        <f t="shared" si="16"/>
        <v>480.24</v>
      </c>
      <c r="O57" s="194">
        <f t="shared" si="16"/>
        <v>546.72</v>
      </c>
      <c r="P57" s="194">
        <f t="shared" si="16"/>
        <v>614.47</v>
      </c>
      <c r="Q57" s="194">
        <f t="shared" si="16"/>
        <v>682.85</v>
      </c>
      <c r="R57" s="194">
        <f t="shared" si="16"/>
        <v>734.8</v>
      </c>
      <c r="S57" s="194">
        <f t="shared" si="16"/>
        <v>419.16</v>
      </c>
      <c r="T57" s="194">
        <f t="shared" si="16"/>
        <v>402.15</v>
      </c>
      <c r="U57" s="195">
        <f>U54+U55+U56</f>
        <v>541.45</v>
      </c>
      <c r="V57" s="195">
        <f>V54+V55+V56</f>
        <v>836.64</v>
      </c>
      <c r="W57" s="195">
        <f aca="true" t="shared" si="17" ref="W57:AB57">W54+W55+W56</f>
        <v>540.85</v>
      </c>
      <c r="X57" s="195">
        <f t="shared" si="17"/>
        <v>599.45</v>
      </c>
      <c r="Y57" s="195">
        <f t="shared" si="17"/>
        <v>674.0200000000001</v>
      </c>
      <c r="Z57" s="195">
        <f t="shared" si="17"/>
        <v>828.6999999999999</v>
      </c>
      <c r="AA57" s="195">
        <f t="shared" si="17"/>
        <v>1056.1</v>
      </c>
      <c r="AB57" s="195">
        <f t="shared" si="17"/>
        <v>1350.9500000000003</v>
      </c>
    </row>
    <row r="58" spans="1:28" ht="30.75">
      <c r="A58" s="184" t="s">
        <v>570</v>
      </c>
      <c r="B58" s="198" t="s">
        <v>609</v>
      </c>
      <c r="C58" s="193">
        <f aca="true" t="shared" si="18" ref="C58:J58">+C52-C54-C55-C56</f>
        <v>13.409999999999783</v>
      </c>
      <c r="D58" s="193">
        <f t="shared" si="18"/>
        <v>-9.094947017729282E-13</v>
      </c>
      <c r="E58" s="193">
        <f t="shared" si="18"/>
        <v>-1.1368683772161603E-13</v>
      </c>
      <c r="F58" s="193">
        <f t="shared" si="18"/>
        <v>-176.79999999999995</v>
      </c>
      <c r="G58" s="193">
        <f t="shared" si="18"/>
        <v>223.48999999999904</v>
      </c>
      <c r="H58" s="194">
        <f t="shared" si="18"/>
        <v>64.64999999999918</v>
      </c>
      <c r="I58" s="194">
        <f t="shared" si="18"/>
        <v>34.0999999999986</v>
      </c>
      <c r="J58" s="194">
        <f t="shared" si="18"/>
        <v>225.1600000000002</v>
      </c>
      <c r="K58" s="194">
        <f aca="true" t="shared" si="19" ref="K58:T58">+K52-K57</f>
        <v>57.20999999999992</v>
      </c>
      <c r="L58" s="194">
        <f t="shared" si="19"/>
        <v>69.97999999999996</v>
      </c>
      <c r="M58" s="194">
        <f t="shared" si="19"/>
        <v>113.10000000000002</v>
      </c>
      <c r="N58" s="194">
        <f t="shared" si="19"/>
        <v>146.80999999999995</v>
      </c>
      <c r="O58" s="194">
        <f t="shared" si="19"/>
        <v>136.89999999999998</v>
      </c>
      <c r="P58" s="194">
        <f t="shared" si="19"/>
        <v>385.6100000000001</v>
      </c>
      <c r="Q58" s="194">
        <f t="shared" si="19"/>
        <v>516.2499999999999</v>
      </c>
      <c r="R58" s="194">
        <f t="shared" si="19"/>
        <v>190.6400000000001</v>
      </c>
      <c r="S58" s="194">
        <f t="shared" si="19"/>
        <v>68.07000000000022</v>
      </c>
      <c r="T58" s="194">
        <f t="shared" si="19"/>
        <v>133.94999999999993</v>
      </c>
      <c r="U58" s="195">
        <f>+U52-U57</f>
        <v>156.26999999999998</v>
      </c>
      <c r="V58" s="195">
        <f>+V52-V57</f>
        <v>123.2299999999999</v>
      </c>
      <c r="W58" s="195">
        <f aca="true" t="shared" si="20" ref="W58:AB58">+W52-W57</f>
        <v>357.33621036841726</v>
      </c>
      <c r="X58" s="195">
        <f t="shared" si="20"/>
        <v>468.6447761935831</v>
      </c>
      <c r="Y58" s="195">
        <f t="shared" si="20"/>
        <v>720.3261850032694</v>
      </c>
      <c r="Z58" s="195">
        <f t="shared" si="20"/>
        <v>991.5225762135159</v>
      </c>
      <c r="AA58" s="195">
        <f t="shared" si="20"/>
        <v>1374.603890829229</v>
      </c>
      <c r="AB58" s="195">
        <f t="shared" si="20"/>
        <v>1754.3960792314783</v>
      </c>
    </row>
    <row r="59" spans="1:28" ht="15.75">
      <c r="A59" s="184" t="s">
        <v>572</v>
      </c>
      <c r="B59" s="198" t="s">
        <v>610</v>
      </c>
      <c r="C59" s="193"/>
      <c r="D59" s="193"/>
      <c r="E59" s="193"/>
      <c r="F59" s="193"/>
      <c r="G59" s="193"/>
      <c r="H59" s="194"/>
      <c r="I59" s="194"/>
      <c r="J59" s="194"/>
      <c r="K59" s="194"/>
      <c r="L59" s="194"/>
      <c r="M59" s="194"/>
      <c r="N59" s="194"/>
      <c r="O59" s="194"/>
      <c r="P59" s="194"/>
      <c r="Q59" s="194"/>
      <c r="R59" s="187">
        <v>32.26</v>
      </c>
      <c r="S59" s="185">
        <v>0</v>
      </c>
      <c r="T59" s="185">
        <v>28.58</v>
      </c>
      <c r="U59" s="188">
        <v>24.11</v>
      </c>
      <c r="V59" s="188">
        <v>13.89</v>
      </c>
      <c r="W59" s="185"/>
      <c r="X59" s="185"/>
      <c r="Y59" s="185"/>
      <c r="Z59" s="196"/>
      <c r="AA59" s="185"/>
      <c r="AB59" s="185"/>
    </row>
    <row r="60" spans="1:28" ht="17.25" customHeight="1">
      <c r="A60" s="184" t="s">
        <v>574</v>
      </c>
      <c r="B60" s="185" t="s">
        <v>216</v>
      </c>
      <c r="C60" s="186"/>
      <c r="D60" s="186"/>
      <c r="E60" s="186"/>
      <c r="F60" s="186"/>
      <c r="G60" s="186">
        <v>18.05</v>
      </c>
      <c r="H60" s="187">
        <v>4.97</v>
      </c>
      <c r="I60" s="187">
        <v>3.15</v>
      </c>
      <c r="J60" s="187">
        <v>20.87</v>
      </c>
      <c r="K60" s="187">
        <v>7.55</v>
      </c>
      <c r="L60" s="187">
        <v>8.66</v>
      </c>
      <c r="M60" s="187">
        <v>12.9</v>
      </c>
      <c r="N60" s="187">
        <v>25.71</v>
      </c>
      <c r="O60" s="187">
        <v>28.19</v>
      </c>
      <c r="P60" s="187">
        <v>77.16</v>
      </c>
      <c r="Q60" s="187">
        <v>103.29</v>
      </c>
      <c r="R60" s="187">
        <v>68.25</v>
      </c>
      <c r="S60" s="185">
        <v>37</v>
      </c>
      <c r="T60" s="185">
        <v>28.58</v>
      </c>
      <c r="U60" s="220">
        <f>33.46</f>
        <v>33.46</v>
      </c>
      <c r="V60" s="220">
        <v>35.92</v>
      </c>
      <c r="W60" s="185"/>
      <c r="X60" s="185"/>
      <c r="Y60" s="185"/>
      <c r="Z60" s="196"/>
      <c r="AA60" s="185"/>
      <c r="AB60" s="185"/>
    </row>
    <row r="61" spans="1:28" ht="17.25" customHeight="1">
      <c r="A61" s="184" t="s">
        <v>576</v>
      </c>
      <c r="B61" s="185" t="s">
        <v>611</v>
      </c>
      <c r="C61" s="186"/>
      <c r="D61" s="186"/>
      <c r="E61" s="186"/>
      <c r="F61" s="186"/>
      <c r="G61" s="186"/>
      <c r="H61" s="187"/>
      <c r="I61" s="187"/>
      <c r="J61" s="187"/>
      <c r="K61" s="187">
        <v>22.64</v>
      </c>
      <c r="L61" s="187">
        <v>25.8</v>
      </c>
      <c r="M61" s="187">
        <v>38.33</v>
      </c>
      <c r="N61" s="187">
        <v>50.91</v>
      </c>
      <c r="O61" s="187">
        <v>46.97</v>
      </c>
      <c r="P61" s="187">
        <v>48.67</v>
      </c>
      <c r="Q61" s="187">
        <v>-4.44</v>
      </c>
      <c r="R61" s="187">
        <v>51.88</v>
      </c>
      <c r="S61" s="187">
        <v>-19.12</v>
      </c>
      <c r="T61" s="187">
        <v>-48.51</v>
      </c>
      <c r="U61" s="189">
        <v>-53.01</v>
      </c>
      <c r="V61" s="189">
        <v>-63.78</v>
      </c>
      <c r="W61" s="185"/>
      <c r="X61" s="185"/>
      <c r="Y61" s="185"/>
      <c r="Z61" s="196"/>
      <c r="AA61" s="185"/>
      <c r="AB61" s="185"/>
    </row>
    <row r="62" spans="1:28" ht="17.25" customHeight="1">
      <c r="A62" s="184"/>
      <c r="B62" s="192" t="s">
        <v>612</v>
      </c>
      <c r="C62" s="193">
        <f aca="true" t="shared" si="21" ref="C62:J62">+C58-C60</f>
        <v>13.409999999999783</v>
      </c>
      <c r="D62" s="193">
        <f t="shared" si="21"/>
        <v>-9.094947017729282E-13</v>
      </c>
      <c r="E62" s="193">
        <f t="shared" si="21"/>
        <v>-1.1368683772161603E-13</v>
      </c>
      <c r="F62" s="193">
        <f t="shared" si="21"/>
        <v>-176.79999999999995</v>
      </c>
      <c r="G62" s="193">
        <f t="shared" si="21"/>
        <v>205.43999999999903</v>
      </c>
      <c r="H62" s="194">
        <f t="shared" si="21"/>
        <v>59.67999999999918</v>
      </c>
      <c r="I62" s="194">
        <f t="shared" si="21"/>
        <v>30.949999999998603</v>
      </c>
      <c r="J62" s="194">
        <f t="shared" si="21"/>
        <v>204.2900000000002</v>
      </c>
      <c r="K62" s="194">
        <f aca="true" t="shared" si="22" ref="K62:Q62">+K58-K60-K61</f>
        <v>27.019999999999925</v>
      </c>
      <c r="L62" s="194">
        <f t="shared" si="22"/>
        <v>35.51999999999997</v>
      </c>
      <c r="M62" s="194">
        <f t="shared" si="22"/>
        <v>61.87000000000002</v>
      </c>
      <c r="N62" s="194">
        <f t="shared" si="22"/>
        <v>70.18999999999994</v>
      </c>
      <c r="O62" s="194">
        <f t="shared" si="22"/>
        <v>61.73999999999998</v>
      </c>
      <c r="P62" s="194">
        <f t="shared" si="22"/>
        <v>259.78000000000014</v>
      </c>
      <c r="Q62" s="194">
        <f t="shared" si="22"/>
        <v>417.39999999999986</v>
      </c>
      <c r="R62" s="194">
        <f>+R58+R59-R60-R61</f>
        <v>102.7700000000001</v>
      </c>
      <c r="S62" s="194">
        <f>+S58+S59-S60-S61</f>
        <v>50.190000000000225</v>
      </c>
      <c r="T62" s="194">
        <f>+T58+T59-T60+T61</f>
        <v>85.43999999999994</v>
      </c>
      <c r="U62" s="194">
        <f>+U58+U59-U60+U61</f>
        <v>93.91</v>
      </c>
      <c r="V62" s="194">
        <f>+V58+V59-V60+V61</f>
        <v>37.41999999999989</v>
      </c>
      <c r="W62" s="185"/>
      <c r="X62" s="185"/>
      <c r="Y62" s="185"/>
      <c r="Z62" s="185"/>
      <c r="AA62" s="185"/>
      <c r="AB62" s="185"/>
    </row>
    <row r="64" ht="15">
      <c r="N64" s="221"/>
    </row>
  </sheetData>
  <sheetProtection/>
  <mergeCells count="4">
    <mergeCell ref="A1:U1"/>
    <mergeCell ref="A2:U2"/>
    <mergeCell ref="A20:B20"/>
    <mergeCell ref="A43:B4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2:G58"/>
  <sheetViews>
    <sheetView zoomScalePageLayoutView="0" workbookViewId="0" topLeftCell="A1">
      <selection activeCell="M11" sqref="M11"/>
    </sheetView>
  </sheetViews>
  <sheetFormatPr defaultColWidth="9.140625" defaultRowHeight="12.75"/>
  <cols>
    <col min="1" max="1" width="25.7109375" style="0" customWidth="1"/>
    <col min="5" max="5" width="9.57421875" style="0" bestFit="1" customWidth="1"/>
    <col min="6" max="7" width="11.28125" style="0" customWidth="1"/>
  </cols>
  <sheetData>
    <row r="2" spans="2:7" ht="15">
      <c r="B2" s="222" t="s">
        <v>613</v>
      </c>
      <c r="G2" t="s">
        <v>614</v>
      </c>
    </row>
    <row r="3" spans="1:7" s="222" customFormat="1" ht="15">
      <c r="A3" s="223" t="s">
        <v>503</v>
      </c>
      <c r="B3" s="223" t="s">
        <v>23</v>
      </c>
      <c r="C3" s="223" t="s">
        <v>476</v>
      </c>
      <c r="D3" s="223" t="s">
        <v>477</v>
      </c>
      <c r="E3" s="223" t="s">
        <v>478</v>
      </c>
      <c r="F3" s="223" t="s">
        <v>479</v>
      </c>
      <c r="G3" s="223" t="s">
        <v>480</v>
      </c>
    </row>
    <row r="4" spans="1:7" ht="12.75">
      <c r="A4" s="7" t="s">
        <v>615</v>
      </c>
      <c r="B4" s="13">
        <f>'[1]Emp. Cost 18-19'!V39</f>
        <v>45861.357315980786</v>
      </c>
      <c r="C4" s="13">
        <f>'[1]Emp. Cost 19-20'!V39</f>
        <v>53521.23093206301</v>
      </c>
      <c r="D4" s="13">
        <f>'[1]Emp. Cost 20-21'!W39</f>
        <v>58577.55029140927</v>
      </c>
      <c r="E4" s="13">
        <f>'[1]Emp. Cost 21-22'!W39</f>
        <v>64421.61748678218</v>
      </c>
      <c r="F4" s="13">
        <f>'[1]Emp. Cost 22-23'!W39+11500</f>
        <v>82810.89049700942</v>
      </c>
      <c r="G4" s="13">
        <f>'[1]Emp. Cost 23-24'!W39+11800</f>
        <v>90827.76702730755</v>
      </c>
    </row>
    <row r="5" spans="1:7" ht="12.75">
      <c r="A5" s="7" t="s">
        <v>616</v>
      </c>
      <c r="B5" s="13">
        <f>'[1]adm'!G75</f>
        <v>8763.030177632001</v>
      </c>
      <c r="C5" s="13">
        <f>'[1]adm'!H75</f>
        <v>10515.6362131584</v>
      </c>
      <c r="D5" s="13">
        <f>'[1]adm'!I75</f>
        <v>12618.76345579008</v>
      </c>
      <c r="E5" s="13">
        <f>'[1]adm'!J75</f>
        <v>15142.516146948097</v>
      </c>
      <c r="F5" s="13">
        <f>'[1]adm'!K75</f>
        <v>18171.019376337717</v>
      </c>
      <c r="G5" s="13">
        <f>'[1]adm'!L75</f>
        <v>21805.223251605254</v>
      </c>
    </row>
    <row r="6" spans="1:7" ht="12.75">
      <c r="A6" s="7" t="s">
        <v>617</v>
      </c>
      <c r="B6" s="13">
        <f>'[1]R&amp;M'!G76</f>
        <v>16581.743103808</v>
      </c>
      <c r="C6" s="13">
        <f>'[1]R&amp;M'!H76</f>
        <v>19898.0917245696</v>
      </c>
      <c r="D6" s="13">
        <f>'[1]R&amp;M'!I76</f>
        <v>23877.71006948352</v>
      </c>
      <c r="E6" s="13">
        <f>'[1]R&amp;M'!J76</f>
        <v>28653.25208338022</v>
      </c>
      <c r="F6" s="13">
        <f>'[1]R&amp;M'!K76</f>
        <v>34383.90250005626</v>
      </c>
      <c r="G6" s="13">
        <f>'[1]R&amp;M'!L76</f>
        <v>41260.68300006751</v>
      </c>
    </row>
    <row r="7" spans="1:7" ht="15">
      <c r="A7" s="223" t="s">
        <v>102</v>
      </c>
      <c r="B7" s="224">
        <f aca="true" t="shared" si="0" ref="B7:G7">SUM(B4:B6)</f>
        <v>71206.13059742078</v>
      </c>
      <c r="C7" s="224">
        <f t="shared" si="0"/>
        <v>83934.95886979101</v>
      </c>
      <c r="D7" s="224">
        <f t="shared" si="0"/>
        <v>95074.02381668288</v>
      </c>
      <c r="E7" s="224">
        <f t="shared" si="0"/>
        <v>108217.3857171105</v>
      </c>
      <c r="F7" s="224">
        <f t="shared" si="0"/>
        <v>135365.8123734034</v>
      </c>
      <c r="G7" s="224">
        <f t="shared" si="0"/>
        <v>153893.6732789803</v>
      </c>
    </row>
    <row r="9" spans="1:7" s="222" customFormat="1" ht="15">
      <c r="A9" s="223" t="s">
        <v>490</v>
      </c>
      <c r="B9" s="223" t="s">
        <v>23</v>
      </c>
      <c r="C9" s="223" t="s">
        <v>476</v>
      </c>
      <c r="D9" s="223" t="s">
        <v>477</v>
      </c>
      <c r="E9" s="223" t="s">
        <v>478</v>
      </c>
      <c r="F9" s="223" t="s">
        <v>479</v>
      </c>
      <c r="G9" s="223" t="s">
        <v>480</v>
      </c>
    </row>
    <row r="10" spans="1:7" ht="12.75">
      <c r="A10" s="7" t="s">
        <v>615</v>
      </c>
      <c r="B10" s="13">
        <f>'[1]Emp. Cost 18-19 (TR)'!V39</f>
        <v>41394.389551786604</v>
      </c>
      <c r="C10" s="13">
        <f>'[1]Emp. Cost 19-20 (TR)'!V39</f>
        <v>48386.87725704178</v>
      </c>
      <c r="D10" s="13">
        <f>'[1]Emp. Cost 20-21 (TR)'!W39</f>
        <v>52958.53257550318</v>
      </c>
      <c r="E10" s="13">
        <f>'[1]Emp. Cost 21-22 (TR)'!W39</f>
        <v>58242.22020461849</v>
      </c>
      <c r="F10" s="13">
        <f>'[1]Emp. Cost 22-23 (TR)'!W39+10400</f>
        <v>74870.36766619823</v>
      </c>
      <c r="G10" s="13">
        <f>'[1]Emp. Cost 23-24 (TR)'!W39+10800</f>
        <v>82247.17471498632</v>
      </c>
    </row>
    <row r="11" spans="1:7" ht="12.75">
      <c r="A11" s="7" t="s">
        <v>616</v>
      </c>
      <c r="B11" s="13">
        <f>'[1]adm'!G74</f>
        <v>8399.030177632001</v>
      </c>
      <c r="C11" s="13">
        <f>'[1]adm'!H74</f>
        <v>10078.8362131584</v>
      </c>
      <c r="D11" s="13">
        <f>'[1]adm'!I74</f>
        <v>12094.60345579008</v>
      </c>
      <c r="E11" s="13">
        <f>'[1]adm'!J74</f>
        <v>14513.524146948097</v>
      </c>
      <c r="F11" s="13">
        <f>'[1]adm'!K74</f>
        <v>17416.228976337716</v>
      </c>
      <c r="G11" s="13">
        <f>'[1]adm'!L74</f>
        <v>20899.474771605255</v>
      </c>
    </row>
    <row r="12" spans="1:7" ht="12.75">
      <c r="A12" s="7" t="s">
        <v>617</v>
      </c>
      <c r="B12" s="13">
        <f>'[1]R&amp;M'!G75</f>
        <v>16316.743103808</v>
      </c>
      <c r="C12" s="13">
        <f>'[1]R&amp;M'!H75</f>
        <v>19580.0917245696</v>
      </c>
      <c r="D12" s="13">
        <f>'[1]R&amp;M'!I75</f>
        <v>23496.110069483522</v>
      </c>
      <c r="E12" s="13">
        <f>'[1]R&amp;M'!J75</f>
        <v>28195.33208338022</v>
      </c>
      <c r="F12" s="13">
        <f>'[1]R&amp;M'!K75</f>
        <v>33834.39850005626</v>
      </c>
      <c r="G12" s="13">
        <f>'[1]R&amp;M'!L75</f>
        <v>40601.278200067514</v>
      </c>
    </row>
    <row r="13" spans="1:7" ht="15">
      <c r="A13" s="223" t="s">
        <v>102</v>
      </c>
      <c r="B13" s="224">
        <f aca="true" t="shared" si="1" ref="B13:G13">SUM(B10:B12)</f>
        <v>66110.1628332266</v>
      </c>
      <c r="C13" s="224">
        <f t="shared" si="1"/>
        <v>78045.80519476978</v>
      </c>
      <c r="D13" s="224">
        <f t="shared" si="1"/>
        <v>88549.24610077679</v>
      </c>
      <c r="E13" s="224">
        <f t="shared" si="1"/>
        <v>100951.07643494682</v>
      </c>
      <c r="F13" s="224">
        <f t="shared" si="1"/>
        <v>126120.9951425922</v>
      </c>
      <c r="G13" s="224">
        <f t="shared" si="1"/>
        <v>143747.9276866591</v>
      </c>
    </row>
    <row r="15" spans="1:7" ht="15">
      <c r="A15" s="223" t="s">
        <v>410</v>
      </c>
      <c r="B15" s="223" t="s">
        <v>23</v>
      </c>
      <c r="C15" s="223" t="s">
        <v>476</v>
      </c>
      <c r="D15" s="223" t="s">
        <v>477</v>
      </c>
      <c r="E15" s="223" t="s">
        <v>478</v>
      </c>
      <c r="F15" s="223" t="s">
        <v>479</v>
      </c>
      <c r="G15" s="223" t="s">
        <v>480</v>
      </c>
    </row>
    <row r="16" spans="1:7" ht="12.75">
      <c r="A16" s="7" t="s">
        <v>615</v>
      </c>
      <c r="B16" s="13">
        <f>B4-B10</f>
        <v>4466.967764194182</v>
      </c>
      <c r="C16" s="13">
        <f aca="true" t="shared" si="2" ref="C16:G18">C4-C10</f>
        <v>5134.35367502123</v>
      </c>
      <c r="D16" s="13">
        <f t="shared" si="2"/>
        <v>5619.017715906091</v>
      </c>
      <c r="E16" s="13">
        <f t="shared" si="2"/>
        <v>6179.397282163693</v>
      </c>
      <c r="F16" s="13">
        <f>F4-F10</f>
        <v>7940.522830811184</v>
      </c>
      <c r="G16" s="13">
        <f t="shared" si="2"/>
        <v>8580.592312321227</v>
      </c>
    </row>
    <row r="17" spans="1:7" ht="12.75">
      <c r="A17" s="7" t="s">
        <v>616</v>
      </c>
      <c r="B17" s="13">
        <f>B5-B11</f>
        <v>364</v>
      </c>
      <c r="C17" s="13">
        <f t="shared" si="2"/>
        <v>436.7999999999993</v>
      </c>
      <c r="D17" s="13">
        <f t="shared" si="2"/>
        <v>524.1599999999999</v>
      </c>
      <c r="E17" s="13">
        <f t="shared" si="2"/>
        <v>628.9920000000002</v>
      </c>
      <c r="F17" s="13">
        <f t="shared" si="2"/>
        <v>754.7904000000017</v>
      </c>
      <c r="G17" s="13">
        <f t="shared" si="2"/>
        <v>905.7484799999984</v>
      </c>
    </row>
    <row r="18" spans="1:7" ht="12.75">
      <c r="A18" s="7" t="s">
        <v>617</v>
      </c>
      <c r="B18" s="13">
        <f>B6-B12</f>
        <v>265</v>
      </c>
      <c r="C18" s="13">
        <f t="shared" si="2"/>
        <v>318</v>
      </c>
      <c r="D18" s="13">
        <f t="shared" si="2"/>
        <v>381.59999999999854</v>
      </c>
      <c r="E18" s="13">
        <f t="shared" si="2"/>
        <v>457.91999999999825</v>
      </c>
      <c r="F18" s="13">
        <f t="shared" si="2"/>
        <v>549.5040000000008</v>
      </c>
      <c r="G18" s="13">
        <f t="shared" si="2"/>
        <v>659.4047999999966</v>
      </c>
    </row>
    <row r="19" spans="1:7" ht="15">
      <c r="A19" s="223" t="s">
        <v>102</v>
      </c>
      <c r="B19" s="224">
        <f aca="true" t="shared" si="3" ref="B19:G19">SUM(B16:B18)</f>
        <v>5095.967764194182</v>
      </c>
      <c r="C19" s="224">
        <f t="shared" si="3"/>
        <v>5889.153675021229</v>
      </c>
      <c r="D19" s="224">
        <f t="shared" si="3"/>
        <v>6524.77771590609</v>
      </c>
      <c r="E19" s="224">
        <f t="shared" si="3"/>
        <v>7266.309282163691</v>
      </c>
      <c r="F19" s="224">
        <f t="shared" si="3"/>
        <v>9244.817230811186</v>
      </c>
      <c r="G19" s="224">
        <f t="shared" si="3"/>
        <v>10145.745592321222</v>
      </c>
    </row>
    <row r="22" ht="12.75">
      <c r="A22" s="225" t="s">
        <v>618</v>
      </c>
    </row>
    <row r="23" spans="1:7" s="222" customFormat="1" ht="15">
      <c r="A23" s="223" t="s">
        <v>503</v>
      </c>
      <c r="B23" s="223" t="s">
        <v>23</v>
      </c>
      <c r="C23" s="223" t="s">
        <v>476</v>
      </c>
      <c r="D23" s="223" t="s">
        <v>477</v>
      </c>
      <c r="E23" s="223" t="s">
        <v>478</v>
      </c>
      <c r="F23" s="223" t="s">
        <v>479</v>
      </c>
      <c r="G23" s="223" t="s">
        <v>480</v>
      </c>
    </row>
    <row r="24" spans="1:7" ht="12.75">
      <c r="A24" s="7" t="s">
        <v>615</v>
      </c>
      <c r="B24" s="13">
        <f aca="true" t="shared" si="4" ref="B24:G24">B30+B36</f>
        <v>8034.651012001779</v>
      </c>
      <c r="C24" s="13">
        <f t="shared" si="4"/>
        <v>9391.89287559181</v>
      </c>
      <c r="D24" s="13">
        <f t="shared" si="4"/>
        <v>10279.251172905168</v>
      </c>
      <c r="E24" s="13">
        <f t="shared" si="4"/>
        <v>11304.81494171645</v>
      </c>
      <c r="F24" s="13">
        <f t="shared" si="4"/>
        <v>14532.338364009076</v>
      </c>
      <c r="G24" s="13">
        <f t="shared" si="4"/>
        <v>15964.176612178844</v>
      </c>
    </row>
    <row r="25" spans="1:7" ht="12.75">
      <c r="A25" s="7" t="s">
        <v>616</v>
      </c>
      <c r="B25" s="13">
        <f aca="true" t="shared" si="5" ref="B25:G26">B31+B37</f>
        <v>1741.9588588408767</v>
      </c>
      <c r="C25" s="13">
        <f t="shared" si="5"/>
        <v>2090.3506306090517</v>
      </c>
      <c r="D25" s="13">
        <f t="shared" si="5"/>
        <v>2508.420756730862</v>
      </c>
      <c r="E25" s="13">
        <f t="shared" si="5"/>
        <v>3010.104908077035</v>
      </c>
      <c r="F25" s="13">
        <f t="shared" si="5"/>
        <v>3612.125889692442</v>
      </c>
      <c r="G25" s="13">
        <f t="shared" si="5"/>
        <v>4334.5510676309295</v>
      </c>
    </row>
    <row r="26" spans="1:7" ht="12.75">
      <c r="A26" s="7" t="s">
        <v>617</v>
      </c>
      <c r="B26" s="13">
        <f t="shared" si="5"/>
        <v>35.8968348283776</v>
      </c>
      <c r="C26" s="13">
        <f t="shared" si="5"/>
        <v>43.07620179405312</v>
      </c>
      <c r="D26" s="13">
        <f t="shared" si="5"/>
        <v>51.69144215286375</v>
      </c>
      <c r="E26" s="13">
        <f t="shared" si="5"/>
        <v>62.02973058343649</v>
      </c>
      <c r="F26" s="13">
        <f t="shared" si="5"/>
        <v>74.43567670012378</v>
      </c>
      <c r="G26" s="13">
        <f t="shared" si="5"/>
        <v>89.32281204014853</v>
      </c>
    </row>
    <row r="27" spans="1:7" ht="15">
      <c r="A27" s="223" t="s">
        <v>102</v>
      </c>
      <c r="B27" s="224">
        <f aca="true" t="shared" si="6" ref="B27:G27">SUM(B24:B26)</f>
        <v>9812.506705671034</v>
      </c>
      <c r="C27" s="224">
        <f t="shared" si="6"/>
        <v>11525.319707994913</v>
      </c>
      <c r="D27" s="224">
        <f t="shared" si="6"/>
        <v>12839.363371788893</v>
      </c>
      <c r="E27" s="224">
        <f t="shared" si="6"/>
        <v>14376.94958037692</v>
      </c>
      <c r="F27" s="224">
        <f t="shared" si="6"/>
        <v>18218.89993040164</v>
      </c>
      <c r="G27" s="224">
        <f t="shared" si="6"/>
        <v>20388.05049184992</v>
      </c>
    </row>
    <row r="29" spans="1:7" s="222" customFormat="1" ht="15">
      <c r="A29" s="223" t="s">
        <v>490</v>
      </c>
      <c r="B29" s="223" t="s">
        <v>23</v>
      </c>
      <c r="C29" s="223" t="s">
        <v>476</v>
      </c>
      <c r="D29" s="223" t="s">
        <v>477</v>
      </c>
      <c r="E29" s="223" t="s">
        <v>478</v>
      </c>
      <c r="F29" s="223" t="s">
        <v>479</v>
      </c>
      <c r="G29" s="223" t="s">
        <v>480</v>
      </c>
    </row>
    <row r="30" spans="1:7" ht="12.75">
      <c r="A30" s="7" t="s">
        <v>615</v>
      </c>
      <c r="B30" s="13">
        <f aca="true" t="shared" si="7" ref="B30:G30">B10*19.41%</f>
        <v>8034.651012001779</v>
      </c>
      <c r="C30" s="13">
        <f t="shared" si="7"/>
        <v>9391.89287559181</v>
      </c>
      <c r="D30" s="13">
        <f t="shared" si="7"/>
        <v>10279.251172905168</v>
      </c>
      <c r="E30" s="13">
        <f t="shared" si="7"/>
        <v>11304.81494171645</v>
      </c>
      <c r="F30" s="13">
        <f t="shared" si="7"/>
        <v>14532.338364009076</v>
      </c>
      <c r="G30" s="13">
        <f t="shared" si="7"/>
        <v>15964.176612178844</v>
      </c>
    </row>
    <row r="31" spans="1:7" ht="12.75">
      <c r="A31" s="7" t="s">
        <v>616</v>
      </c>
      <c r="B31" s="13">
        <f aca="true" t="shared" si="8" ref="B31:G31">B11*20.74%</f>
        <v>1741.9588588408767</v>
      </c>
      <c r="C31" s="13">
        <f t="shared" si="8"/>
        <v>2090.3506306090517</v>
      </c>
      <c r="D31" s="13">
        <f t="shared" si="8"/>
        <v>2508.420756730862</v>
      </c>
      <c r="E31" s="13">
        <f t="shared" si="8"/>
        <v>3010.104908077035</v>
      </c>
      <c r="F31" s="13">
        <f t="shared" si="8"/>
        <v>3612.125889692442</v>
      </c>
      <c r="G31" s="13">
        <f t="shared" si="8"/>
        <v>4334.5510676309295</v>
      </c>
    </row>
    <row r="32" spans="1:7" ht="12.75">
      <c r="A32" s="7" t="s">
        <v>617</v>
      </c>
      <c r="B32" s="13">
        <f aca="true" t="shared" si="9" ref="B32:G32">B12*0.22%</f>
        <v>35.8968348283776</v>
      </c>
      <c r="C32" s="13">
        <f t="shared" si="9"/>
        <v>43.07620179405312</v>
      </c>
      <c r="D32" s="13">
        <f t="shared" si="9"/>
        <v>51.69144215286375</v>
      </c>
      <c r="E32" s="13">
        <f t="shared" si="9"/>
        <v>62.02973058343649</v>
      </c>
      <c r="F32" s="13">
        <f t="shared" si="9"/>
        <v>74.43567670012378</v>
      </c>
      <c r="G32" s="13">
        <f t="shared" si="9"/>
        <v>89.32281204014853</v>
      </c>
    </row>
    <row r="33" spans="1:7" ht="15">
      <c r="A33" s="223" t="s">
        <v>102</v>
      </c>
      <c r="B33" s="224">
        <f aca="true" t="shared" si="10" ref="B33:G33">SUM(B30:B32)</f>
        <v>9812.506705671034</v>
      </c>
      <c r="C33" s="224">
        <f t="shared" si="10"/>
        <v>11525.319707994913</v>
      </c>
      <c r="D33" s="224">
        <f t="shared" si="10"/>
        <v>12839.363371788893</v>
      </c>
      <c r="E33" s="224">
        <f t="shared" si="10"/>
        <v>14376.94958037692</v>
      </c>
      <c r="F33" s="224">
        <f t="shared" si="10"/>
        <v>18218.89993040164</v>
      </c>
      <c r="G33" s="224">
        <f t="shared" si="10"/>
        <v>20388.05049184992</v>
      </c>
    </row>
    <row r="35" spans="1:7" ht="15">
      <c r="A35" s="223" t="s">
        <v>410</v>
      </c>
      <c r="B35" s="223" t="s">
        <v>23</v>
      </c>
      <c r="C35" s="223" t="s">
        <v>476</v>
      </c>
      <c r="D35" s="223" t="s">
        <v>477</v>
      </c>
      <c r="E35" s="223" t="s">
        <v>478</v>
      </c>
      <c r="F35" s="223" t="s">
        <v>479</v>
      </c>
      <c r="G35" s="223" t="s">
        <v>480</v>
      </c>
    </row>
    <row r="36" spans="1:7" ht="12.75">
      <c r="A36" s="7" t="s">
        <v>615</v>
      </c>
      <c r="B36" s="13">
        <v>0</v>
      </c>
      <c r="C36" s="13">
        <v>0</v>
      </c>
      <c r="D36" s="13">
        <v>0</v>
      </c>
      <c r="E36" s="13">
        <v>0</v>
      </c>
      <c r="F36" s="13">
        <v>0</v>
      </c>
      <c r="G36" s="13">
        <v>0</v>
      </c>
    </row>
    <row r="37" spans="1:7" ht="12.75">
      <c r="A37" s="7" t="s">
        <v>616</v>
      </c>
      <c r="B37" s="13">
        <v>0</v>
      </c>
      <c r="C37" s="13">
        <v>0</v>
      </c>
      <c r="D37" s="13">
        <v>0</v>
      </c>
      <c r="E37" s="13">
        <v>0</v>
      </c>
      <c r="F37" s="13">
        <v>0</v>
      </c>
      <c r="G37" s="13">
        <v>0</v>
      </c>
    </row>
    <row r="38" spans="1:7" ht="12.75">
      <c r="A38" s="7" t="s">
        <v>617</v>
      </c>
      <c r="B38" s="13">
        <v>0</v>
      </c>
      <c r="C38" s="13">
        <v>0</v>
      </c>
      <c r="D38" s="13">
        <v>0</v>
      </c>
      <c r="E38" s="13">
        <v>0</v>
      </c>
      <c r="F38" s="13">
        <v>0</v>
      </c>
      <c r="G38" s="13">
        <v>0</v>
      </c>
    </row>
    <row r="39" spans="1:7" ht="15">
      <c r="A39" s="223" t="s">
        <v>102</v>
      </c>
      <c r="B39" s="224">
        <f aca="true" t="shared" si="11" ref="B39:G39">SUM(B36:B38)</f>
        <v>0</v>
      </c>
      <c r="C39" s="224">
        <f t="shared" si="11"/>
        <v>0</v>
      </c>
      <c r="D39" s="224">
        <f t="shared" si="11"/>
        <v>0</v>
      </c>
      <c r="E39" s="224">
        <f t="shared" si="11"/>
        <v>0</v>
      </c>
      <c r="F39" s="224">
        <f t="shared" si="11"/>
        <v>0</v>
      </c>
      <c r="G39" s="224">
        <f t="shared" si="11"/>
        <v>0</v>
      </c>
    </row>
    <row r="41" ht="12.75">
      <c r="A41" t="s">
        <v>619</v>
      </c>
    </row>
    <row r="42" spans="1:7" ht="15">
      <c r="A42" s="223" t="s">
        <v>503</v>
      </c>
      <c r="B42" s="223" t="s">
        <v>23</v>
      </c>
      <c r="C42" s="223" t="s">
        <v>476</v>
      </c>
      <c r="D42" s="223" t="s">
        <v>477</v>
      </c>
      <c r="E42" s="223" t="s">
        <v>478</v>
      </c>
      <c r="F42" s="223" t="s">
        <v>479</v>
      </c>
      <c r="G42" s="223" t="s">
        <v>480</v>
      </c>
    </row>
    <row r="43" spans="1:7" ht="12.75">
      <c r="A43" s="7" t="s">
        <v>615</v>
      </c>
      <c r="B43" s="13">
        <f aca="true" t="shared" si="12" ref="B43:G43">B4-B24</f>
        <v>37826.70630397901</v>
      </c>
      <c r="C43" s="13">
        <f t="shared" si="12"/>
        <v>44129.3380564712</v>
      </c>
      <c r="D43" s="13">
        <f t="shared" si="12"/>
        <v>48298.2991185041</v>
      </c>
      <c r="E43" s="13">
        <f t="shared" si="12"/>
        <v>53116.80254506573</v>
      </c>
      <c r="F43" s="13">
        <f t="shared" si="12"/>
        <v>68278.55213300034</v>
      </c>
      <c r="G43" s="13">
        <f t="shared" si="12"/>
        <v>74863.59041512871</v>
      </c>
    </row>
    <row r="44" spans="1:7" ht="12.75">
      <c r="A44" s="7" t="s">
        <v>616</v>
      </c>
      <c r="B44" s="13">
        <f aca="true" t="shared" si="13" ref="B44:G45">B5-B25</f>
        <v>7021.071318791124</v>
      </c>
      <c r="C44" s="13">
        <f t="shared" si="13"/>
        <v>8425.285582549348</v>
      </c>
      <c r="D44" s="13">
        <f t="shared" si="13"/>
        <v>10110.342699059218</v>
      </c>
      <c r="E44" s="13">
        <f t="shared" si="13"/>
        <v>12132.411238871062</v>
      </c>
      <c r="F44" s="13">
        <f t="shared" si="13"/>
        <v>14558.893486645276</v>
      </c>
      <c r="G44" s="13">
        <f t="shared" si="13"/>
        <v>17470.672183974326</v>
      </c>
    </row>
    <row r="45" spans="1:7" ht="12.75">
      <c r="A45" s="7" t="s">
        <v>617</v>
      </c>
      <c r="B45" s="13">
        <f t="shared" si="13"/>
        <v>16545.84626897962</v>
      </c>
      <c r="C45" s="13">
        <f t="shared" si="13"/>
        <v>19855.015522775546</v>
      </c>
      <c r="D45" s="13">
        <f t="shared" si="13"/>
        <v>23826.018627330657</v>
      </c>
      <c r="E45" s="13">
        <f t="shared" si="13"/>
        <v>28591.222352796784</v>
      </c>
      <c r="F45" s="13">
        <f t="shared" si="13"/>
        <v>34309.46682335614</v>
      </c>
      <c r="G45" s="13">
        <f t="shared" si="13"/>
        <v>41171.36018802736</v>
      </c>
    </row>
    <row r="46" spans="1:7" ht="15">
      <c r="A46" s="223" t="s">
        <v>102</v>
      </c>
      <c r="B46" s="224">
        <f aca="true" t="shared" si="14" ref="B46:G46">SUM(B43:B45)</f>
        <v>61393.623891749754</v>
      </c>
      <c r="C46" s="224">
        <f t="shared" si="14"/>
        <v>72409.63916179609</v>
      </c>
      <c r="D46" s="224">
        <f t="shared" si="14"/>
        <v>82234.66044489398</v>
      </c>
      <c r="E46" s="224">
        <f t="shared" si="14"/>
        <v>93840.43613673358</v>
      </c>
      <c r="F46" s="224">
        <f t="shared" si="14"/>
        <v>117146.91244300175</v>
      </c>
      <c r="G46" s="224">
        <f t="shared" si="14"/>
        <v>133505.6227871304</v>
      </c>
    </row>
    <row r="48" spans="1:7" ht="15">
      <c r="A48" s="223" t="s">
        <v>490</v>
      </c>
      <c r="B48" s="223" t="s">
        <v>23</v>
      </c>
      <c r="C48" s="223" t="s">
        <v>476</v>
      </c>
      <c r="D48" s="223" t="s">
        <v>477</v>
      </c>
      <c r="E48" s="223" t="s">
        <v>478</v>
      </c>
      <c r="F48" s="223" t="s">
        <v>479</v>
      </c>
      <c r="G48" s="223" t="s">
        <v>480</v>
      </c>
    </row>
    <row r="49" spans="1:7" ht="12.75">
      <c r="A49" s="7" t="s">
        <v>615</v>
      </c>
      <c r="B49" s="13">
        <f aca="true" t="shared" si="15" ref="B49:G49">B10-B30</f>
        <v>33359.73853978483</v>
      </c>
      <c r="C49" s="13">
        <f t="shared" si="15"/>
        <v>38994.98438144997</v>
      </c>
      <c r="D49" s="13">
        <f t="shared" si="15"/>
        <v>42679.28140259801</v>
      </c>
      <c r="E49" s="13">
        <f t="shared" si="15"/>
        <v>46937.405262902044</v>
      </c>
      <c r="F49" s="13">
        <f t="shared" si="15"/>
        <v>60338.029302189156</v>
      </c>
      <c r="G49" s="13">
        <f t="shared" si="15"/>
        <v>66282.99810280748</v>
      </c>
    </row>
    <row r="50" spans="1:7" ht="12.75">
      <c r="A50" s="7" t="s">
        <v>616</v>
      </c>
      <c r="B50" s="13">
        <f aca="true" t="shared" si="16" ref="B50:G51">B11-B31</f>
        <v>6657.071318791124</v>
      </c>
      <c r="C50" s="13">
        <f t="shared" si="16"/>
        <v>7988.485582549349</v>
      </c>
      <c r="D50" s="13">
        <f t="shared" si="16"/>
        <v>9586.182699059218</v>
      </c>
      <c r="E50" s="13">
        <f t="shared" si="16"/>
        <v>11503.419238871062</v>
      </c>
      <c r="F50" s="13">
        <f t="shared" si="16"/>
        <v>13804.103086645275</v>
      </c>
      <c r="G50" s="13">
        <f t="shared" si="16"/>
        <v>16564.923703974324</v>
      </c>
    </row>
    <row r="51" spans="1:7" ht="12.75">
      <c r="A51" s="7" t="s">
        <v>617</v>
      </c>
      <c r="B51" s="13">
        <f t="shared" si="16"/>
        <v>16280.846268979622</v>
      </c>
      <c r="C51" s="13">
        <f t="shared" si="16"/>
        <v>19537.015522775546</v>
      </c>
      <c r="D51" s="13">
        <f t="shared" si="16"/>
        <v>23444.41862733066</v>
      </c>
      <c r="E51" s="13">
        <f t="shared" si="16"/>
        <v>28133.302352796785</v>
      </c>
      <c r="F51" s="13">
        <f t="shared" si="16"/>
        <v>33759.96282335614</v>
      </c>
      <c r="G51" s="13">
        <f t="shared" si="16"/>
        <v>40511.95538802737</v>
      </c>
    </row>
    <row r="52" spans="1:7" ht="15">
      <c r="A52" s="223" t="s">
        <v>102</v>
      </c>
      <c r="B52" s="226">
        <f aca="true" t="shared" si="17" ref="B52:G52">SUM(B49:B51)</f>
        <v>56297.65612755557</v>
      </c>
      <c r="C52" s="226">
        <f t="shared" si="17"/>
        <v>66520.48548677487</v>
      </c>
      <c r="D52" s="226">
        <f t="shared" si="17"/>
        <v>75709.88272898788</v>
      </c>
      <c r="E52" s="226">
        <f t="shared" si="17"/>
        <v>86574.1268545699</v>
      </c>
      <c r="F52" s="226">
        <f t="shared" si="17"/>
        <v>107902.09521219057</v>
      </c>
      <c r="G52" s="226">
        <f t="shared" si="17"/>
        <v>123359.87719480917</v>
      </c>
    </row>
    <row r="54" spans="1:7" ht="15">
      <c r="A54" s="223" t="s">
        <v>410</v>
      </c>
      <c r="B54" s="223" t="s">
        <v>23</v>
      </c>
      <c r="C54" s="223" t="s">
        <v>476</v>
      </c>
      <c r="D54" s="223" t="s">
        <v>477</v>
      </c>
      <c r="E54" s="223" t="s">
        <v>478</v>
      </c>
      <c r="F54" s="223" t="s">
        <v>479</v>
      </c>
      <c r="G54" s="223" t="s">
        <v>480</v>
      </c>
    </row>
    <row r="55" spans="1:7" ht="12.75">
      <c r="A55" s="7" t="s">
        <v>615</v>
      </c>
      <c r="B55" s="13">
        <f aca="true" t="shared" si="18" ref="B55:G55">B16-B36</f>
        <v>4466.967764194182</v>
      </c>
      <c r="C55" s="13">
        <f t="shared" si="18"/>
        <v>5134.35367502123</v>
      </c>
      <c r="D55" s="13">
        <f t="shared" si="18"/>
        <v>5619.017715906091</v>
      </c>
      <c r="E55" s="13">
        <f t="shared" si="18"/>
        <v>6179.397282163693</v>
      </c>
      <c r="F55" s="13">
        <f t="shared" si="18"/>
        <v>7940.522830811184</v>
      </c>
      <c r="G55" s="13">
        <f t="shared" si="18"/>
        <v>8580.592312321227</v>
      </c>
    </row>
    <row r="56" spans="1:7" ht="12.75">
      <c r="A56" s="7" t="s">
        <v>616</v>
      </c>
      <c r="B56" s="13">
        <f aca="true" t="shared" si="19" ref="B56:G57">B17-B37</f>
        <v>364</v>
      </c>
      <c r="C56" s="13">
        <f t="shared" si="19"/>
        <v>436.7999999999993</v>
      </c>
      <c r="D56" s="13">
        <f t="shared" si="19"/>
        <v>524.1599999999999</v>
      </c>
      <c r="E56" s="13">
        <f t="shared" si="19"/>
        <v>628.9920000000002</v>
      </c>
      <c r="F56" s="13">
        <f t="shared" si="19"/>
        <v>754.7904000000017</v>
      </c>
      <c r="G56" s="13">
        <f t="shared" si="19"/>
        <v>905.7484799999984</v>
      </c>
    </row>
    <row r="57" spans="1:7" ht="12.75">
      <c r="A57" s="7" t="s">
        <v>617</v>
      </c>
      <c r="B57" s="13">
        <f t="shared" si="19"/>
        <v>265</v>
      </c>
      <c r="C57" s="13">
        <f t="shared" si="19"/>
        <v>318</v>
      </c>
      <c r="D57" s="13">
        <f t="shared" si="19"/>
        <v>381.59999999999854</v>
      </c>
      <c r="E57" s="13">
        <f t="shared" si="19"/>
        <v>457.91999999999825</v>
      </c>
      <c r="F57" s="13">
        <f t="shared" si="19"/>
        <v>549.5040000000008</v>
      </c>
      <c r="G57" s="13">
        <f t="shared" si="19"/>
        <v>659.4047999999966</v>
      </c>
    </row>
    <row r="58" spans="1:7" ht="15">
      <c r="A58" s="223" t="s">
        <v>102</v>
      </c>
      <c r="B58" s="224">
        <f aca="true" t="shared" si="20" ref="B58:G58">SUM(B55:B57)</f>
        <v>5095.967764194182</v>
      </c>
      <c r="C58" s="224">
        <f t="shared" si="20"/>
        <v>5889.153675021229</v>
      </c>
      <c r="D58" s="224">
        <f t="shared" si="20"/>
        <v>6524.77771590609</v>
      </c>
      <c r="E58" s="224">
        <f t="shared" si="20"/>
        <v>7266.309282163691</v>
      </c>
      <c r="F58" s="224">
        <f t="shared" si="20"/>
        <v>9244.817230811186</v>
      </c>
      <c r="G58" s="224">
        <f t="shared" si="20"/>
        <v>10145.745592321222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selection activeCell="C5" sqref="C5:H18"/>
    </sheetView>
  </sheetViews>
  <sheetFormatPr defaultColWidth="9.140625" defaultRowHeight="12.75"/>
  <cols>
    <col min="1" max="1" width="33.8515625" style="0" customWidth="1"/>
    <col min="2" max="2" width="6.7109375" style="0" bestFit="1" customWidth="1"/>
    <col min="3" max="8" width="11.140625" style="0" customWidth="1"/>
  </cols>
  <sheetData>
    <row r="1" ht="12.75">
      <c r="A1" s="9" t="s">
        <v>24</v>
      </c>
    </row>
    <row r="2" ht="12.75">
      <c r="A2" s="10" t="s">
        <v>25</v>
      </c>
    </row>
    <row r="3" spans="1:7" ht="12.75">
      <c r="A3" s="9"/>
      <c r="G3" t="s">
        <v>375</v>
      </c>
    </row>
    <row r="4" spans="1:8" ht="26.25" customHeight="1">
      <c r="A4" s="248" t="s">
        <v>0</v>
      </c>
      <c r="B4" s="248" t="s">
        <v>13</v>
      </c>
      <c r="C4" s="251" t="s">
        <v>644</v>
      </c>
      <c r="D4" s="252" t="s">
        <v>481</v>
      </c>
      <c r="E4" s="252" t="s">
        <v>482</v>
      </c>
      <c r="F4" s="252" t="s">
        <v>483</v>
      </c>
      <c r="G4" s="252" t="s">
        <v>484</v>
      </c>
      <c r="H4" s="252" t="s">
        <v>485</v>
      </c>
    </row>
    <row r="5" spans="1:8" ht="18.75" customHeight="1">
      <c r="A5" s="8" t="s">
        <v>26</v>
      </c>
      <c r="B5" s="22"/>
      <c r="C5" s="8">
        <f aca="true" t="shared" si="0" ref="C5:H5">+C6+C7</f>
        <v>11664.11</v>
      </c>
      <c r="D5" s="8">
        <f t="shared" si="0"/>
        <v>13088.23</v>
      </c>
      <c r="E5" s="8">
        <f t="shared" si="0"/>
        <v>15635.43</v>
      </c>
      <c r="F5" s="8">
        <f t="shared" si="0"/>
        <v>19355.13</v>
      </c>
      <c r="G5" s="8">
        <f t="shared" si="0"/>
        <v>24235.72</v>
      </c>
      <c r="H5" s="8">
        <f t="shared" si="0"/>
        <v>28450.09</v>
      </c>
    </row>
    <row r="6" spans="1:8" ht="18.75" customHeight="1">
      <c r="A6" s="11" t="s">
        <v>27</v>
      </c>
      <c r="B6" s="7"/>
      <c r="C6" s="40">
        <v>10552.04</v>
      </c>
      <c r="D6" s="40">
        <f>+C6+C7</f>
        <v>11664.11</v>
      </c>
      <c r="E6" s="40">
        <f>+D6+D7</f>
        <v>13088.23</v>
      </c>
      <c r="F6" s="40">
        <f>+E6+E7</f>
        <v>15635.43</v>
      </c>
      <c r="G6" s="40">
        <f>+F6+F7</f>
        <v>19355.13</v>
      </c>
      <c r="H6" s="40">
        <f>+G6+G7</f>
        <v>24235.72</v>
      </c>
    </row>
    <row r="7" spans="1:8" ht="18.75" customHeight="1">
      <c r="A7" s="11" t="s">
        <v>28</v>
      </c>
      <c r="B7" s="7"/>
      <c r="C7" s="40">
        <f>+'1.1a(GFA)'!D32+'1.1a(GFA)'!E32</f>
        <v>1112.07</v>
      </c>
      <c r="D7" s="40">
        <f>+'1.1a(GFA)'!D64+'1.1a(GFA)'!E64</f>
        <v>1424.12</v>
      </c>
      <c r="E7" s="40">
        <f>+'1.1a(GFA)'!D96+'1.1a(GFA)'!E96</f>
        <v>2547.2</v>
      </c>
      <c r="F7" s="40">
        <f>+'1.1a(GFA)'!D128+'1.1a(GFA)'!E128</f>
        <v>3719.7</v>
      </c>
      <c r="G7" s="40">
        <f>+'1.1a(GFA)'!D160+'1.1a(GFA)'!E160</f>
        <v>4880.59</v>
      </c>
      <c r="H7" s="40">
        <f>+'1.1a(GFA)'!D192+'1.1a(GFA)'!E192</f>
        <v>4214.37</v>
      </c>
    </row>
    <row r="8" spans="1:8" ht="18.75" customHeight="1">
      <c r="A8" s="11" t="s">
        <v>500</v>
      </c>
      <c r="B8" s="7"/>
      <c r="C8" s="40"/>
      <c r="D8" s="40"/>
      <c r="E8" s="40"/>
      <c r="F8" s="40"/>
      <c r="G8" s="40"/>
      <c r="H8" s="40"/>
    </row>
    <row r="9" spans="1:8" ht="18.75" customHeight="1">
      <c r="A9" s="8" t="s">
        <v>2</v>
      </c>
      <c r="B9" s="22"/>
      <c r="C9" s="8">
        <f aca="true" t="shared" si="1" ref="C9:H9">+C10+C11</f>
        <v>4186.57</v>
      </c>
      <c r="D9" s="8">
        <f t="shared" si="1"/>
        <v>4786.0199999999995</v>
      </c>
      <c r="E9" s="8">
        <f t="shared" si="1"/>
        <v>5460.04</v>
      </c>
      <c r="F9" s="8">
        <f t="shared" si="1"/>
        <v>6288.74</v>
      </c>
      <c r="G9" s="8">
        <f t="shared" si="1"/>
        <v>7344.84</v>
      </c>
      <c r="H9" s="8">
        <f t="shared" si="1"/>
        <v>8695.79</v>
      </c>
    </row>
    <row r="10" spans="1:8" ht="18.75" customHeight="1">
      <c r="A10" s="11" t="s">
        <v>29</v>
      </c>
      <c r="B10" s="7"/>
      <c r="C10" s="40">
        <v>3645.72</v>
      </c>
      <c r="D10" s="40">
        <f>+C10+C11</f>
        <v>4186.57</v>
      </c>
      <c r="E10" s="40">
        <f>+D10+D11</f>
        <v>4786.0199999999995</v>
      </c>
      <c r="F10" s="40">
        <f>+E10+E11</f>
        <v>5460.04</v>
      </c>
      <c r="G10" s="40">
        <f>+F10+F11</f>
        <v>6288.74</v>
      </c>
      <c r="H10" s="40">
        <f>+G10+G11</f>
        <v>7344.84</v>
      </c>
    </row>
    <row r="11" spans="1:8" ht="18.75" customHeight="1">
      <c r="A11" s="11" t="s">
        <v>30</v>
      </c>
      <c r="B11" s="7"/>
      <c r="C11" s="40">
        <f>+'1.1b (Dep)'!G32</f>
        <v>540.85</v>
      </c>
      <c r="D11" s="40">
        <f>+'1.1b (Dep)'!G64</f>
        <v>599.45</v>
      </c>
      <c r="E11" s="40">
        <f>+'1.1b (Dep)'!G96</f>
        <v>674.0200000000001</v>
      </c>
      <c r="F11" s="40">
        <f>+'1.1b (Dep)'!G128</f>
        <v>828.6999999999999</v>
      </c>
      <c r="G11" s="40">
        <f>+'1.1b (Dep)'!G160</f>
        <v>1056.1</v>
      </c>
      <c r="H11" s="40">
        <f>+'1.1b (Dep)'!G192</f>
        <v>1350.9500000000003</v>
      </c>
    </row>
    <row r="12" spans="1:8" ht="18.75" customHeight="1">
      <c r="A12" s="11" t="s">
        <v>500</v>
      </c>
      <c r="B12" s="7"/>
      <c r="C12" s="40"/>
      <c r="D12" s="40"/>
      <c r="E12" s="40"/>
      <c r="F12" s="40"/>
      <c r="G12" s="40"/>
      <c r="H12" s="40"/>
    </row>
    <row r="13" spans="1:8" ht="18.75" customHeight="1">
      <c r="A13" s="8" t="s">
        <v>31</v>
      </c>
      <c r="B13" s="7"/>
      <c r="C13" s="40">
        <f aca="true" t="shared" si="2" ref="C13:H13">+C14+C15</f>
        <v>975.11</v>
      </c>
      <c r="D13" s="40">
        <f t="shared" si="2"/>
        <v>996.59</v>
      </c>
      <c r="E13" s="40">
        <f t="shared" si="2"/>
        <v>1017.0500000000001</v>
      </c>
      <c r="F13" s="40">
        <f t="shared" si="2"/>
        <v>1110.8400000000001</v>
      </c>
      <c r="G13" s="40">
        <f t="shared" si="2"/>
        <v>1281.5200000000002</v>
      </c>
      <c r="H13" s="40">
        <f t="shared" si="2"/>
        <v>1457.8095000000003</v>
      </c>
    </row>
    <row r="14" spans="1:8" ht="18.75" customHeight="1">
      <c r="A14" s="11" t="s">
        <v>32</v>
      </c>
      <c r="B14" s="7"/>
      <c r="C14" s="40">
        <v>910.72</v>
      </c>
      <c r="D14" s="40">
        <f>+C14+C15</f>
        <v>975.11</v>
      </c>
      <c r="E14" s="40">
        <f>+D14+D15</f>
        <v>996.59</v>
      </c>
      <c r="F14" s="40">
        <f>+E14+E15</f>
        <v>1017.0500000000001</v>
      </c>
      <c r="G14" s="40">
        <f>+F14+F15</f>
        <v>1110.8400000000001</v>
      </c>
      <c r="H14" s="40">
        <f>+G14+G15</f>
        <v>1281.5200000000002</v>
      </c>
    </row>
    <row r="15" spans="1:8" ht="18.75" customHeight="1">
      <c r="A15" s="11" t="s">
        <v>33</v>
      </c>
      <c r="B15" s="7"/>
      <c r="C15" s="40">
        <f>+'7(Cont.)'!D10-'7(Cont.)'!E10</f>
        <v>64.39</v>
      </c>
      <c r="D15" s="40">
        <f>+'7(Cont.)'!D18-'7(Cont.)'!E18</f>
        <v>21.480000000000004</v>
      </c>
      <c r="E15" s="40">
        <f>+'7(Cont.)'!D25-'7(Cont.)'!E25</f>
        <v>20.459999999999994</v>
      </c>
      <c r="F15" s="40">
        <f>+'7(Cont.)'!D32-'7(Cont.)'!E32</f>
        <v>93.79000000000002</v>
      </c>
      <c r="G15" s="40">
        <f>+'7(Cont.)'!D39-'7(Cont.)'!E39</f>
        <v>170.68</v>
      </c>
      <c r="H15" s="40">
        <f>+'7(Cont.)'!D46-'7(Cont.)'!E46</f>
        <v>176.28950000000003</v>
      </c>
    </row>
    <row r="16" spans="1:8" ht="18.75" customHeight="1">
      <c r="A16" s="8" t="s">
        <v>34</v>
      </c>
      <c r="B16" s="7"/>
      <c r="C16" s="40">
        <f>+'1.3(i)'!C7</f>
        <v>90.34622819294785</v>
      </c>
      <c r="D16" s="40">
        <f>+'1.3(i)'!D7</f>
        <v>100.11393001333127</v>
      </c>
      <c r="E16" s="40">
        <f>+'1.3(i)'!E7</f>
        <v>111.14645408650992</v>
      </c>
      <c r="F16" s="40">
        <f>+'1.3(i)'!F7</f>
        <v>122.75033894563447</v>
      </c>
      <c r="G16" s="40">
        <f>+'1.3(i)'!G7</f>
        <v>135.47584629005502</v>
      </c>
      <c r="H16" s="40">
        <f>+'1.3(i)'!H7</f>
        <v>148.4981731686389</v>
      </c>
    </row>
    <row r="17" spans="1:8" ht="18.75" customHeight="1">
      <c r="A17" s="8" t="s">
        <v>35</v>
      </c>
      <c r="B17" s="7"/>
      <c r="C17" s="40">
        <f aca="true" t="shared" si="3" ref="C17:H17">((C7-C11-C15)/2)</f>
        <v>253.41499999999996</v>
      </c>
      <c r="D17" s="40">
        <f t="shared" si="3"/>
        <v>401.5949999999999</v>
      </c>
      <c r="E17" s="40">
        <f t="shared" si="3"/>
        <v>926.3599999999999</v>
      </c>
      <c r="F17" s="40">
        <f t="shared" si="3"/>
        <v>1398.605</v>
      </c>
      <c r="G17" s="40">
        <f t="shared" si="3"/>
        <v>1826.9050000000002</v>
      </c>
      <c r="H17" s="40">
        <f t="shared" si="3"/>
        <v>1343.5652499999999</v>
      </c>
    </row>
    <row r="18" spans="1:8" ht="18.75" customHeight="1">
      <c r="A18" s="12" t="s">
        <v>36</v>
      </c>
      <c r="B18" s="7"/>
      <c r="C18" s="8">
        <f aca="true" t="shared" si="4" ref="C18:H18">+(C6-C10-C14+C16+C17)</f>
        <v>6339.361228192949</v>
      </c>
      <c r="D18" s="8">
        <f t="shared" si="4"/>
        <v>7004.138930013332</v>
      </c>
      <c r="E18" s="8">
        <f t="shared" si="4"/>
        <v>8343.126454086509</v>
      </c>
      <c r="F18" s="8">
        <f t="shared" si="4"/>
        <v>10679.695338945634</v>
      </c>
      <c r="G18" s="8">
        <f t="shared" si="4"/>
        <v>13917.930846290057</v>
      </c>
      <c r="H18" s="8">
        <f t="shared" si="4"/>
        <v>17101.42342316864</v>
      </c>
    </row>
    <row r="20" spans="1:8" ht="12.75">
      <c r="A20" s="173"/>
      <c r="C20" s="20"/>
      <c r="D20" s="20"/>
      <c r="E20" s="20"/>
      <c r="F20" s="20"/>
      <c r="G20" s="20"/>
      <c r="H20" s="20"/>
    </row>
    <row r="21" spans="1:8" ht="12.75">
      <c r="A21" s="173"/>
      <c r="C21" s="20"/>
      <c r="D21" s="20"/>
      <c r="E21" s="20"/>
      <c r="F21" s="20"/>
      <c r="G21" s="20"/>
      <c r="H21" s="20"/>
    </row>
    <row r="22" spans="1:8" ht="12.75">
      <c r="A22" s="173"/>
      <c r="C22" s="20"/>
      <c r="D22" s="20"/>
      <c r="E22" s="20"/>
      <c r="F22" s="20"/>
      <c r="G22" s="20"/>
      <c r="H22" s="20"/>
    </row>
    <row r="23" spans="1:8" ht="12.75">
      <c r="A23" s="173"/>
      <c r="C23" s="20"/>
      <c r="D23" s="20"/>
      <c r="E23" s="20"/>
      <c r="F23" s="20"/>
      <c r="G23" s="20"/>
      <c r="H23" s="20"/>
    </row>
    <row r="25" spans="1:8" ht="12.75">
      <c r="A25" s="173"/>
      <c r="C25" s="20"/>
      <c r="D25" s="20"/>
      <c r="E25" s="20"/>
      <c r="F25" s="20"/>
      <c r="G25" s="20"/>
      <c r="H25" s="20"/>
    </row>
    <row r="26" spans="3:8" ht="12.75">
      <c r="C26" s="174"/>
      <c r="D26" s="174"/>
      <c r="E26" s="174"/>
      <c r="F26" s="174"/>
      <c r="G26" s="174"/>
      <c r="H26" s="174"/>
    </row>
    <row r="27" spans="1:8" ht="12.75">
      <c r="A27" s="15"/>
      <c r="C27" s="174"/>
      <c r="D27" s="174"/>
      <c r="E27" s="174"/>
      <c r="F27" s="174"/>
      <c r="G27" s="174"/>
      <c r="H27" s="174"/>
    </row>
    <row r="29" spans="1:8" ht="12.75">
      <c r="A29" s="15"/>
      <c r="C29" s="20"/>
      <c r="D29" s="20"/>
      <c r="E29" s="20"/>
      <c r="F29" s="20"/>
      <c r="G29" s="20"/>
      <c r="H29" s="20"/>
    </row>
    <row r="32" spans="3:8" ht="12.75">
      <c r="C32" s="20"/>
      <c r="D32" s="20"/>
      <c r="E32" s="20"/>
      <c r="F32" s="20"/>
      <c r="G32" s="20"/>
      <c r="H32" s="20"/>
    </row>
    <row r="33" spans="3:8" ht="12.75">
      <c r="C33" s="20"/>
      <c r="D33" s="20"/>
      <c r="E33" s="20"/>
      <c r="F33" s="20"/>
      <c r="G33" s="20"/>
      <c r="H33" s="20"/>
    </row>
  </sheetData>
  <sheetProtection/>
  <printOptions horizontalCentered="1"/>
  <pageMargins left="0.38" right="0.2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15"/>
  <sheetViews>
    <sheetView zoomScalePageLayoutView="0" workbookViewId="0" topLeftCell="A1">
      <selection activeCell="A14" sqref="A14"/>
    </sheetView>
  </sheetViews>
  <sheetFormatPr defaultColWidth="9.140625" defaultRowHeight="12.75"/>
  <cols>
    <col min="1" max="1" width="23.8515625" style="0" customWidth="1"/>
    <col min="2" max="2" width="6.7109375" style="0" bestFit="1" customWidth="1"/>
    <col min="3" max="3" width="11.28125" style="0" bestFit="1" customWidth="1"/>
    <col min="4" max="8" width="10.57421875" style="0" bestFit="1" customWidth="1"/>
  </cols>
  <sheetData>
    <row r="1" ht="12.75">
      <c r="A1" s="14" t="s">
        <v>37</v>
      </c>
    </row>
    <row r="2" ht="12.75">
      <c r="A2" s="15" t="s">
        <v>38</v>
      </c>
    </row>
    <row r="3" ht="12.75">
      <c r="A3" s="16"/>
    </row>
    <row r="4" spans="1:8" ht="25.5" customHeight="1">
      <c r="A4" s="255" t="s">
        <v>0</v>
      </c>
      <c r="B4" s="248" t="s">
        <v>13</v>
      </c>
      <c r="C4" s="251" t="s">
        <v>644</v>
      </c>
      <c r="D4" s="252" t="s">
        <v>481</v>
      </c>
      <c r="E4" s="252" t="s">
        <v>482</v>
      </c>
      <c r="F4" s="252" t="s">
        <v>483</v>
      </c>
      <c r="G4" s="252" t="s">
        <v>484</v>
      </c>
      <c r="H4" s="252" t="s">
        <v>485</v>
      </c>
    </row>
    <row r="5" spans="1:8" s="68" customFormat="1" ht="19.5" customHeight="1">
      <c r="A5" s="37" t="s">
        <v>39</v>
      </c>
      <c r="B5" s="67"/>
      <c r="C5" s="67"/>
      <c r="D5" s="67"/>
      <c r="E5" s="67"/>
      <c r="F5" s="67"/>
      <c r="G5" s="67"/>
      <c r="H5" s="67"/>
    </row>
    <row r="6" spans="1:8" s="68" customFormat="1" ht="19.5" customHeight="1">
      <c r="A6" s="117" t="s">
        <v>40</v>
      </c>
      <c r="B6" s="67"/>
      <c r="C6" s="118">
        <v>0.75</v>
      </c>
      <c r="D6" s="118">
        <v>0.75</v>
      </c>
      <c r="E6" s="118">
        <v>0.75</v>
      </c>
      <c r="F6" s="118">
        <v>0.75</v>
      </c>
      <c r="G6" s="118">
        <v>0.75</v>
      </c>
      <c r="H6" s="118">
        <v>0.75</v>
      </c>
    </row>
    <row r="7" spans="1:8" s="68" customFormat="1" ht="19.5" customHeight="1">
      <c r="A7" s="119" t="s">
        <v>41</v>
      </c>
      <c r="B7" s="67"/>
      <c r="C7" s="118">
        <v>0.25</v>
      </c>
      <c r="D7" s="118">
        <v>0.25</v>
      </c>
      <c r="E7" s="118">
        <v>0.25</v>
      </c>
      <c r="F7" s="118">
        <v>0.25</v>
      </c>
      <c r="G7" s="118">
        <v>0.25</v>
      </c>
      <c r="H7" s="118">
        <v>0.25</v>
      </c>
    </row>
    <row r="8" spans="1:8" s="68" customFormat="1" ht="19.5" customHeight="1">
      <c r="A8" s="37" t="s">
        <v>42</v>
      </c>
      <c r="B8" s="67"/>
      <c r="C8" s="118"/>
      <c r="D8" s="118"/>
      <c r="E8" s="118"/>
      <c r="F8" s="118"/>
      <c r="G8" s="118"/>
      <c r="H8" s="118"/>
    </row>
    <row r="9" spans="1:8" s="68" customFormat="1" ht="19.5" customHeight="1">
      <c r="A9" s="117" t="s">
        <v>43</v>
      </c>
      <c r="B9" s="67"/>
      <c r="C9" s="118">
        <v>0.105</v>
      </c>
      <c r="D9" s="118">
        <v>0.105</v>
      </c>
      <c r="E9" s="118">
        <v>0.105</v>
      </c>
      <c r="F9" s="118">
        <v>0.105</v>
      </c>
      <c r="G9" s="118">
        <v>0.105</v>
      </c>
      <c r="H9" s="118">
        <v>0.105</v>
      </c>
    </row>
    <row r="10" spans="1:8" s="68" customFormat="1" ht="19.5" customHeight="1">
      <c r="A10" s="119" t="s">
        <v>44</v>
      </c>
      <c r="B10" s="67"/>
      <c r="C10" s="118">
        <v>0.14</v>
      </c>
      <c r="D10" s="118">
        <v>0.14</v>
      </c>
      <c r="E10" s="118">
        <v>0.14</v>
      </c>
      <c r="F10" s="118">
        <v>0.14</v>
      </c>
      <c r="G10" s="118">
        <v>0.14</v>
      </c>
      <c r="H10" s="118">
        <v>0.14</v>
      </c>
    </row>
    <row r="11" spans="1:8" s="68" customFormat="1" ht="19.5" customHeight="1">
      <c r="A11" s="37" t="s">
        <v>45</v>
      </c>
      <c r="B11" s="116"/>
      <c r="C11" s="120">
        <f aca="true" t="shared" si="0" ref="C11:H11">+(C6*C9)+(C7*C10)</f>
        <v>0.11375</v>
      </c>
      <c r="D11" s="120">
        <f t="shared" si="0"/>
        <v>0.11375</v>
      </c>
      <c r="E11" s="120">
        <f t="shared" si="0"/>
        <v>0.11375</v>
      </c>
      <c r="F11" s="120">
        <f t="shared" si="0"/>
        <v>0.11375</v>
      </c>
      <c r="G11" s="120">
        <f t="shared" si="0"/>
        <v>0.11375</v>
      </c>
      <c r="H11" s="120">
        <f t="shared" si="0"/>
        <v>0.11375</v>
      </c>
    </row>
    <row r="14" ht="12.75">
      <c r="A14" s="15"/>
    </row>
    <row r="15" spans="3:8" ht="12.75">
      <c r="C15" s="114"/>
      <c r="D15" s="114"/>
      <c r="E15" s="114"/>
      <c r="F15" s="114"/>
      <c r="G15" s="114"/>
      <c r="H15" s="114"/>
    </row>
  </sheetData>
  <sheetProtection/>
  <printOptions horizontalCentered="1"/>
  <pageMargins left="0.75" right="0.75" top="1" bottom="1" header="0.5" footer="0.5"/>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M21"/>
  <sheetViews>
    <sheetView zoomScalePageLayoutView="0" workbookViewId="0" topLeftCell="A1">
      <selection activeCell="K3" sqref="K3"/>
    </sheetView>
  </sheetViews>
  <sheetFormatPr defaultColWidth="9.140625" defaultRowHeight="12.75"/>
  <cols>
    <col min="1" max="1" width="35.28125" style="0" bestFit="1" customWidth="1"/>
    <col min="2" max="2" width="6.7109375" style="0" bestFit="1" customWidth="1"/>
    <col min="3" max="3" width="11.28125" style="0" bestFit="1" customWidth="1"/>
    <col min="4" max="6" width="10.57421875" style="0" bestFit="1" customWidth="1"/>
    <col min="7" max="7" width="11.00390625" style="0" bestFit="1" customWidth="1"/>
    <col min="8" max="8" width="12.00390625" style="0" bestFit="1" customWidth="1"/>
    <col min="13" max="13" width="14.00390625" style="0" bestFit="1" customWidth="1"/>
  </cols>
  <sheetData>
    <row r="1" ht="12.75">
      <c r="A1" s="14" t="s">
        <v>46</v>
      </c>
    </row>
    <row r="2" spans="1:7" ht="12.75">
      <c r="A2" s="14"/>
      <c r="F2" s="421" t="s">
        <v>391</v>
      </c>
      <c r="G2" s="421"/>
    </row>
    <row r="3" spans="1:8" ht="27.75" customHeight="1">
      <c r="A3" s="255" t="s">
        <v>0</v>
      </c>
      <c r="B3" s="248" t="s">
        <v>13</v>
      </c>
      <c r="C3" s="258" t="s">
        <v>644</v>
      </c>
      <c r="D3" s="252" t="s">
        <v>481</v>
      </c>
      <c r="E3" s="252" t="s">
        <v>482</v>
      </c>
      <c r="F3" s="252" t="s">
        <v>483</v>
      </c>
      <c r="G3" s="252" t="s">
        <v>484</v>
      </c>
      <c r="H3" s="252" t="s">
        <v>485</v>
      </c>
    </row>
    <row r="4" spans="1:8" ht="12.75">
      <c r="A4" s="17" t="s">
        <v>639</v>
      </c>
      <c r="B4" s="7"/>
      <c r="C4" s="285"/>
      <c r="D4" s="285">
        <v>11450</v>
      </c>
      <c r="E4" s="285">
        <v>12219</v>
      </c>
      <c r="F4" s="285">
        <v>13209</v>
      </c>
      <c r="G4" s="285">
        <v>14315</v>
      </c>
      <c r="H4" s="285">
        <v>15539</v>
      </c>
    </row>
    <row r="5" spans="1:8" ht="18" customHeight="1">
      <c r="A5" s="19" t="s">
        <v>47</v>
      </c>
      <c r="B5" s="13"/>
      <c r="C5" s="318">
        <f>SUM(C6:C10)</f>
        <v>12500.141500000002</v>
      </c>
      <c r="D5" s="286">
        <v>11450</v>
      </c>
      <c r="E5" s="286">
        <f>E4</f>
        <v>12219</v>
      </c>
      <c r="F5" s="286">
        <f>F4</f>
        <v>13209</v>
      </c>
      <c r="G5" s="286">
        <f>G4</f>
        <v>14315</v>
      </c>
      <c r="H5" s="286">
        <f>H4</f>
        <v>15539</v>
      </c>
    </row>
    <row r="6" spans="1:13" ht="18" customHeight="1">
      <c r="A6" s="18" t="s">
        <v>49</v>
      </c>
      <c r="B6" s="7"/>
      <c r="C6" s="228">
        <f>+'1.1m(cap)'!C8</f>
        <v>4283.54</v>
      </c>
      <c r="D6" s="84">
        <f>+'1.1m(cap)'!D8</f>
        <v>3923.915</v>
      </c>
      <c r="E6" s="84">
        <f>+'1.1m(cap)'!E8</f>
        <v>4187.4513</v>
      </c>
      <c r="F6" s="84">
        <f>+'1.1m(cap)'!F8</f>
        <v>4526.7243</v>
      </c>
      <c r="G6" s="84">
        <f>+'1.1m(cap)'!G8</f>
        <v>4905.7505</v>
      </c>
      <c r="H6" s="84">
        <f>+'1.1m(cap)'!H8</f>
        <v>5325.2153</v>
      </c>
      <c r="M6" s="238"/>
    </row>
    <row r="7" spans="1:8" ht="18" customHeight="1">
      <c r="A7" s="18" t="s">
        <v>51</v>
      </c>
      <c r="B7" s="7"/>
      <c r="C7" s="228">
        <f>+'1.1m(cap)'!C12</f>
        <v>8216.6015</v>
      </c>
      <c r="D7" s="84">
        <f>+'1.1m(cap)'!D12</f>
        <v>7526.085</v>
      </c>
      <c r="E7" s="84">
        <f>+'1.1m(cap)'!E12</f>
        <v>8031.5487</v>
      </c>
      <c r="F7" s="84">
        <f>+'1.1m(cap)'!F12</f>
        <v>8682.2757</v>
      </c>
      <c r="G7" s="84">
        <f>+'1.1m(cap)'!G12</f>
        <v>9409.2495</v>
      </c>
      <c r="H7" s="84">
        <f>+'1.1m(cap)'!H12</f>
        <v>10213.7847</v>
      </c>
    </row>
    <row r="8" spans="1:8" ht="18" customHeight="1" hidden="1">
      <c r="A8" s="18" t="s">
        <v>48</v>
      </c>
      <c r="B8" s="7"/>
      <c r="C8" s="228">
        <f>+'1.1m(cap)'!C16</f>
        <v>0</v>
      </c>
      <c r="D8" s="84">
        <f>+'1.1m(cap)'!D16</f>
        <v>0</v>
      </c>
      <c r="E8" s="84">
        <f>+'1.1m(cap)'!E16</f>
        <v>0</v>
      </c>
      <c r="F8" s="84">
        <f>+'1.1m(cap)'!F16</f>
        <v>0</v>
      </c>
      <c r="G8" s="84">
        <f>+'1.1m(cap)'!G16</f>
        <v>0</v>
      </c>
      <c r="H8" s="84">
        <f>+'1.1m(cap)'!H16</f>
        <v>0</v>
      </c>
    </row>
    <row r="9" spans="1:8" ht="18" customHeight="1" hidden="1">
      <c r="A9" s="18" t="s">
        <v>50</v>
      </c>
      <c r="B9" s="7"/>
      <c r="C9" s="228">
        <f>+'1.1m(cap)'!C20</f>
        <v>0</v>
      </c>
      <c r="D9" s="84">
        <f>+'1.1m(cap)'!D20</f>
        <v>0</v>
      </c>
      <c r="E9" s="84">
        <f>+'1.1m(cap)'!E20</f>
        <v>0</v>
      </c>
      <c r="F9" s="84">
        <f>+'1.1m(cap)'!F20</f>
        <v>0</v>
      </c>
      <c r="G9" s="84">
        <f>+'1.1m(cap)'!G20</f>
        <v>0</v>
      </c>
      <c r="H9" s="84">
        <f>+'1.1m(cap)'!H20</f>
        <v>0</v>
      </c>
    </row>
    <row r="10" spans="1:8" ht="18" customHeight="1">
      <c r="A10" s="18" t="s">
        <v>52</v>
      </c>
      <c r="B10" s="7"/>
      <c r="C10" s="228">
        <v>0</v>
      </c>
      <c r="D10" s="84">
        <f>+'1.1m(cap)'!D24</f>
        <v>700</v>
      </c>
      <c r="E10" s="84">
        <f>+'1.1m(cap)'!E24</f>
        <v>152.93</v>
      </c>
      <c r="F10" s="84">
        <f>+'1.1m(cap)'!F24</f>
        <v>149.59</v>
      </c>
      <c r="G10" s="84">
        <f>+'1.1m(cap)'!G24</f>
        <v>117.93</v>
      </c>
      <c r="H10" s="84">
        <f>+'1.1m(cap)'!H24</f>
        <v>109.43</v>
      </c>
    </row>
    <row r="11" spans="1:8" ht="18" customHeight="1">
      <c r="A11" s="19" t="s">
        <v>54</v>
      </c>
      <c r="B11" s="7"/>
      <c r="C11" s="228">
        <v>94.44</v>
      </c>
      <c r="D11" s="84">
        <f>'1.0'!D17*10^7/(D5*10^3)/12</f>
        <v>121.78793422854683</v>
      </c>
      <c r="E11" s="84">
        <f>'1.0'!E17*10^7/(E5*10^3)/12</f>
        <v>143.11780953810654</v>
      </c>
      <c r="F11" s="84">
        <f>'1.0'!F17*10^7/(F5*10^3)/12</f>
        <v>165.8121538205385</v>
      </c>
      <c r="G11" s="84">
        <f>'1.0'!G17*10^7/(G5*10^3)/12</f>
        <v>195.17700903188202</v>
      </c>
      <c r="H11" s="84">
        <f>'1.0'!H17*10^7/(H5*10^3)/12</f>
        <v>222.16956606927673</v>
      </c>
    </row>
    <row r="12" spans="1:8" ht="18" customHeight="1">
      <c r="A12" s="19" t="s">
        <v>53</v>
      </c>
      <c r="B12" s="7"/>
      <c r="C12" s="230">
        <f aca="true" t="shared" si="0" ref="C12:H12">C11*C5*12/10000</f>
        <v>1416.616035912</v>
      </c>
      <c r="D12" s="12">
        <f>D11*D5*12/10000</f>
        <v>1673.3662163002334</v>
      </c>
      <c r="E12" s="12">
        <f t="shared" si="0"/>
        <v>2098.507817695349</v>
      </c>
      <c r="F12" s="12">
        <f t="shared" si="0"/>
        <v>2628.2552877785915</v>
      </c>
      <c r="G12" s="12">
        <f t="shared" si="0"/>
        <v>3352.750661149669</v>
      </c>
      <c r="H12" s="12">
        <f t="shared" si="0"/>
        <v>4142.7514645805895</v>
      </c>
    </row>
    <row r="13" spans="3:9" ht="12.75">
      <c r="C13" s="20"/>
      <c r="D13" s="20"/>
      <c r="E13" s="20"/>
      <c r="F13" s="20"/>
      <c r="G13" s="20"/>
      <c r="H13" s="20"/>
      <c r="I13" s="15"/>
    </row>
    <row r="14" ht="12.75">
      <c r="A14" s="15" t="s">
        <v>646</v>
      </c>
    </row>
    <row r="18" spans="4:8" ht="12.75">
      <c r="D18" s="20"/>
      <c r="E18" s="20"/>
      <c r="F18" s="20"/>
      <c r="G18" s="20"/>
      <c r="H18" s="20"/>
    </row>
    <row r="20" spans="4:8" ht="12.75">
      <c r="D20" s="20"/>
      <c r="E20" s="20"/>
      <c r="F20" s="20"/>
      <c r="G20" s="20"/>
      <c r="H20" s="20"/>
    </row>
    <row r="21" spans="4:8" ht="12.75">
      <c r="D21" s="20"/>
      <c r="E21" s="20"/>
      <c r="F21" s="20"/>
      <c r="G21" s="20"/>
      <c r="H21" s="20"/>
    </row>
  </sheetData>
  <sheetProtection/>
  <mergeCells count="1">
    <mergeCell ref="F2:G2"/>
  </mergeCells>
  <dataValidations count="1">
    <dataValidation type="decimal" allowBlank="1" showInputMessage="1" showErrorMessage="1" sqref="C12:H12">
      <formula1>-10000000000000000</formula1>
      <formula2>100000000000000000</formula2>
    </dataValidation>
  </dataValidations>
  <printOptions horizontalCentered="1"/>
  <pageMargins left="0.54" right="0.32"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I67"/>
  <sheetViews>
    <sheetView zoomScalePageLayoutView="0" workbookViewId="0" topLeftCell="A37">
      <pane xSplit="1" topLeftCell="B1" activePane="topRight" state="frozen"/>
      <selection pane="topLeft" activeCell="A1" sqref="A1"/>
      <selection pane="topRight" activeCell="C21" sqref="C21"/>
    </sheetView>
  </sheetViews>
  <sheetFormatPr defaultColWidth="9.140625" defaultRowHeight="12.75"/>
  <cols>
    <col min="1" max="1" width="32.57421875" style="0" customWidth="1"/>
    <col min="2" max="2" width="6.7109375" style="0" customWidth="1"/>
    <col min="3" max="3" width="11.421875" style="0" customWidth="1"/>
    <col min="4" max="8" width="10.140625" style="0" customWidth="1"/>
  </cols>
  <sheetData>
    <row r="1" ht="12.75">
      <c r="A1" s="20"/>
    </row>
    <row r="2" spans="1:2" ht="12.75">
      <c r="A2" s="9" t="s">
        <v>55</v>
      </c>
      <c r="B2" t="s">
        <v>502</v>
      </c>
    </row>
    <row r="3" spans="1:7" ht="12.75">
      <c r="A3" s="20"/>
      <c r="G3" t="s">
        <v>375</v>
      </c>
    </row>
    <row r="4" spans="1:8" ht="32.25" customHeight="1">
      <c r="A4" s="248" t="s">
        <v>0</v>
      </c>
      <c r="B4" s="248" t="s">
        <v>13</v>
      </c>
      <c r="C4" s="258" t="s">
        <v>644</v>
      </c>
      <c r="D4" s="252" t="s">
        <v>481</v>
      </c>
      <c r="E4" s="252" t="s">
        <v>482</v>
      </c>
      <c r="F4" s="252" t="s">
        <v>483</v>
      </c>
      <c r="G4" s="252" t="s">
        <v>484</v>
      </c>
      <c r="H4" s="252" t="s">
        <v>485</v>
      </c>
    </row>
    <row r="5" spans="1:8" s="68" customFormat="1" ht="17.25" customHeight="1">
      <c r="A5" s="63" t="s">
        <v>77</v>
      </c>
      <c r="B5" s="67"/>
      <c r="C5" s="67"/>
      <c r="D5" s="67"/>
      <c r="E5" s="67"/>
      <c r="F5" s="67"/>
      <c r="G5" s="67"/>
      <c r="H5" s="67"/>
    </row>
    <row r="6" spans="1:8" s="68" customFormat="1" ht="17.25" customHeight="1">
      <c r="A6" s="99" t="s">
        <v>56</v>
      </c>
      <c r="B6" s="67"/>
      <c r="C6" s="287">
        <v>12095.213867481356</v>
      </c>
      <c r="D6" s="287">
        <f>+'1.1a(GFA)'!F64</f>
        <v>13088.230000000001</v>
      </c>
      <c r="E6" s="287">
        <f>+'1.1a(GFA)'!F96</f>
        <v>15635.43</v>
      </c>
      <c r="F6" s="287">
        <f>+'1.1a(GFA)'!F128</f>
        <v>19355.13</v>
      </c>
      <c r="G6" s="287">
        <f>+'1.1a(GFA)'!F160</f>
        <v>24235.72</v>
      </c>
      <c r="H6" s="287">
        <f>+'1.1a(GFA)'!F192</f>
        <v>28450.09</v>
      </c>
    </row>
    <row r="7" spans="1:8" s="68" customFormat="1" ht="17.25" customHeight="1">
      <c r="A7" s="100" t="s">
        <v>57</v>
      </c>
      <c r="B7" s="67"/>
      <c r="C7" s="287">
        <v>4186.5700000000015</v>
      </c>
      <c r="D7" s="287">
        <f>+'1.1b (Dep)'!I64</f>
        <v>4786.02</v>
      </c>
      <c r="E7" s="287">
        <f>+'1.1b (Dep)'!I96</f>
        <v>5460.040000000002</v>
      </c>
      <c r="F7" s="287">
        <f>+'1.1b (Dep)'!I128</f>
        <v>6288.740000000002</v>
      </c>
      <c r="G7" s="287">
        <f>+'1.1b (Dep)'!I160</f>
        <v>7344.840000000001</v>
      </c>
      <c r="H7" s="287">
        <f>+'1.1b (Dep)'!I192</f>
        <v>8695.79</v>
      </c>
    </row>
    <row r="8" spans="1:8" s="68" customFormat="1" ht="17.25" customHeight="1">
      <c r="A8" s="100" t="s">
        <v>58</v>
      </c>
      <c r="B8" s="116"/>
      <c r="C8" s="122">
        <v>7908.643867481354</v>
      </c>
      <c r="D8" s="122">
        <f>+D6-D7</f>
        <v>8302.210000000001</v>
      </c>
      <c r="E8" s="122">
        <f>+E6-E7</f>
        <v>10175.39</v>
      </c>
      <c r="F8" s="122">
        <f>+F6-F7</f>
        <v>13066.39</v>
      </c>
      <c r="G8" s="122">
        <f>+G6-G7</f>
        <v>16890.88</v>
      </c>
      <c r="H8" s="122">
        <f>+H6-H7</f>
        <v>19754.3</v>
      </c>
    </row>
    <row r="9" spans="1:8" s="68" customFormat="1" ht="17.25" customHeight="1">
      <c r="A9" s="98" t="s">
        <v>59</v>
      </c>
      <c r="B9" s="67"/>
      <c r="C9" s="287">
        <v>2346.3500000000013</v>
      </c>
      <c r="D9" s="287">
        <f>+'1.1c(CWIP)'!D19</f>
        <v>2694.5200000000013</v>
      </c>
      <c r="E9" s="287">
        <f>+'1.1c(CWIP)'!E19</f>
        <v>3435.3900000000012</v>
      </c>
      <c r="F9" s="287">
        <f>+'1.1c(CWIP)'!F19</f>
        <v>3267.5600000000013</v>
      </c>
      <c r="G9" s="287">
        <f>+'1.1c(CWIP)'!G19</f>
        <v>2077.260000000001</v>
      </c>
      <c r="H9" s="287">
        <f>+'1.1c(CWIP)'!H19</f>
        <v>1297.1900000000014</v>
      </c>
    </row>
    <row r="10" spans="1:8" s="68" customFormat="1" ht="17.25" customHeight="1">
      <c r="A10" s="99" t="s">
        <v>60</v>
      </c>
      <c r="B10" s="67"/>
      <c r="C10" s="131"/>
      <c r="D10" s="131"/>
      <c r="E10" s="131"/>
      <c r="F10" s="131"/>
      <c r="G10" s="131"/>
      <c r="H10" s="131"/>
    </row>
    <row r="11" spans="1:8" s="68" customFormat="1" ht="17.25" customHeight="1">
      <c r="A11" s="98" t="s">
        <v>61</v>
      </c>
      <c r="B11" s="67"/>
      <c r="C11" s="288">
        <v>83.958</v>
      </c>
      <c r="D11" s="288">
        <f>+C11*105/100</f>
        <v>88.1559</v>
      </c>
      <c r="E11" s="288">
        <f>+D11*105/100</f>
        <v>92.56369500000001</v>
      </c>
      <c r="F11" s="288">
        <f>+E11*105/100</f>
        <v>97.19187975000001</v>
      </c>
      <c r="G11" s="288">
        <f>+F11*105/100</f>
        <v>102.05147373750002</v>
      </c>
      <c r="H11" s="288">
        <f>+G11*105/100</f>
        <v>107.15404742437502</v>
      </c>
    </row>
    <row r="12" spans="1:8" s="68" customFormat="1" ht="17.25" customHeight="1">
      <c r="A12" s="99" t="s">
        <v>62</v>
      </c>
      <c r="B12" s="67"/>
      <c r="C12" s="122">
        <v>1130.6313363259999</v>
      </c>
      <c r="D12" s="122">
        <f>SUM(D13:D20)</f>
        <v>1221.4171846916859</v>
      </c>
      <c r="E12" s="122">
        <f>SUM(E13:E20)</f>
        <v>1184.6956514746123</v>
      </c>
      <c r="F12" s="122">
        <f>SUM(F13:F20)</f>
        <v>1233.8412739815492</v>
      </c>
      <c r="G12" s="122">
        <f>SUM(G13:G20)</f>
        <v>1339.215888429139</v>
      </c>
      <c r="H12" s="122">
        <f>SUM(H13:H20)</f>
        <v>1425.049288715049</v>
      </c>
    </row>
    <row r="13" spans="1:8" s="68" customFormat="1" ht="17.25" customHeight="1">
      <c r="A13" s="101" t="s">
        <v>63</v>
      </c>
      <c r="B13" s="67"/>
      <c r="C13" s="122">
        <v>203.91</v>
      </c>
      <c r="D13" s="287">
        <f>+'1.1j(CA)'!D6</f>
        <v>198.91</v>
      </c>
      <c r="E13" s="287">
        <f>+'1.1j(CA)'!E6</f>
        <v>193.91</v>
      </c>
      <c r="F13" s="287">
        <f>+'1.1j(CA)'!F6</f>
        <v>218.91</v>
      </c>
      <c r="G13" s="287">
        <f>+'1.1j(CA)'!G6</f>
        <v>243.91</v>
      </c>
      <c r="H13" s="287">
        <f>+'1.1j(CA)'!H6</f>
        <v>248.91</v>
      </c>
    </row>
    <row r="14" spans="1:8" s="68" customFormat="1" ht="17.25" customHeight="1">
      <c r="A14" s="162" t="s">
        <v>495</v>
      </c>
      <c r="B14" s="67"/>
      <c r="C14" s="122">
        <v>50</v>
      </c>
      <c r="D14" s="122">
        <f>+'1.1j(CA)'!D7</f>
        <v>82.15</v>
      </c>
      <c r="E14" s="122">
        <f>+'1.1j(CA)'!E7</f>
        <v>0</v>
      </c>
      <c r="F14" s="122">
        <f>+'1.1j(CA)'!F7</f>
        <v>0</v>
      </c>
      <c r="G14" s="122">
        <f>+'1.1j(CA)'!G7</f>
        <v>0</v>
      </c>
      <c r="H14" s="122">
        <f>+'1.1j(CA)'!H7</f>
        <v>0</v>
      </c>
    </row>
    <row r="15" spans="1:8" s="68" customFormat="1" ht="17.25" customHeight="1">
      <c r="A15" s="101" t="s">
        <v>64</v>
      </c>
      <c r="B15" s="67"/>
      <c r="C15" s="287">
        <v>118.051336326</v>
      </c>
      <c r="D15" s="287">
        <f>+'1.1j(CA)'!D8</f>
        <v>139.44718469168612</v>
      </c>
      <c r="E15" s="287">
        <f>+'1.1j(CA)'!E8</f>
        <v>174.8756514746124</v>
      </c>
      <c r="F15" s="287">
        <f>+'1.1j(CA)'!F8</f>
        <v>219.02127398154929</v>
      </c>
      <c r="G15" s="287">
        <f>+'1.1j(CA)'!G8</f>
        <v>279.3958884291391</v>
      </c>
      <c r="H15" s="287">
        <f>+'1.1j(CA)'!H8</f>
        <v>345.2292887150491</v>
      </c>
    </row>
    <row r="16" spans="1:8" s="68" customFormat="1" ht="17.25" customHeight="1">
      <c r="A16" s="101" t="s">
        <v>65</v>
      </c>
      <c r="B16" s="67"/>
      <c r="C16" s="287">
        <v>77.4</v>
      </c>
      <c r="D16" s="287">
        <f>+'1.1j(CA)'!D9</f>
        <v>82.4</v>
      </c>
      <c r="E16" s="287">
        <f>+'1.1j(CA)'!E9</f>
        <v>87.4</v>
      </c>
      <c r="F16" s="287">
        <f>+'1.1j(CA)'!F9</f>
        <v>72.4</v>
      </c>
      <c r="G16" s="287">
        <f>+'1.1j(CA)'!G9</f>
        <v>87.4</v>
      </c>
      <c r="H16" s="287">
        <f>+'1.1j(CA)'!H9</f>
        <v>87.4</v>
      </c>
    </row>
    <row r="17" spans="1:8" s="68" customFormat="1" ht="17.25" customHeight="1">
      <c r="A17" s="101" t="s">
        <v>66</v>
      </c>
      <c r="B17" s="67"/>
      <c r="C17" s="287">
        <v>532.42</v>
      </c>
      <c r="D17" s="287">
        <f>+'1.1j(CA)'!D10+'1.1j(CA)'!D12</f>
        <v>557.42</v>
      </c>
      <c r="E17" s="287">
        <f>+'1.1j(CA)'!E10+'1.1j(CA)'!E12</f>
        <v>562.42</v>
      </c>
      <c r="F17" s="287">
        <f>+'1.1j(CA)'!F10+'1.1j(CA)'!F12+'1.1j(CA)'!F11</f>
        <v>557.42</v>
      </c>
      <c r="G17" s="287">
        <f>+'1.1j(CA)'!G10+'1.1j(CA)'!G12+'1.1j(CA)'!G11</f>
        <v>562.42</v>
      </c>
      <c r="H17" s="287">
        <f>+'1.1j(CA)'!H10+'1.1j(CA)'!H12+'1.1j(CA)'!H11</f>
        <v>577.42</v>
      </c>
    </row>
    <row r="18" spans="1:8" s="68" customFormat="1" ht="17.25" customHeight="1">
      <c r="A18" s="101" t="s">
        <v>67</v>
      </c>
      <c r="B18" s="67"/>
      <c r="C18" s="287">
        <v>148.85</v>
      </c>
      <c r="D18" s="287">
        <f>+'1.1j(CA)'!D15</f>
        <v>161.09</v>
      </c>
      <c r="E18" s="287">
        <f>+'1.1j(CA)'!E15</f>
        <v>166.09</v>
      </c>
      <c r="F18" s="287">
        <f>+'1.1j(CA)'!F15</f>
        <v>166.09</v>
      </c>
      <c r="G18" s="287">
        <f>+'1.1j(CA)'!G15</f>
        <v>166.09</v>
      </c>
      <c r="H18" s="287">
        <f>+'1.1j(CA)'!H15</f>
        <v>166.09</v>
      </c>
    </row>
    <row r="19" spans="1:8" s="68" customFormat="1" ht="17.25" customHeight="1">
      <c r="A19" s="99" t="s">
        <v>68</v>
      </c>
      <c r="B19" s="67"/>
      <c r="C19" s="131"/>
      <c r="D19" s="131"/>
      <c r="E19" s="131"/>
      <c r="F19" s="131"/>
      <c r="G19" s="131"/>
      <c r="H19" s="131"/>
    </row>
    <row r="20" spans="1:8" s="68" customFormat="1" ht="17.25" customHeight="1">
      <c r="A20" s="99" t="s">
        <v>69</v>
      </c>
      <c r="B20" s="67"/>
      <c r="C20" s="131"/>
      <c r="D20" s="131"/>
      <c r="E20" s="131"/>
      <c r="F20" s="131"/>
      <c r="G20" s="131"/>
      <c r="H20" s="131"/>
    </row>
    <row r="21" spans="1:8" s="68" customFormat="1" ht="17.25" customHeight="1">
      <c r="A21" s="69" t="s">
        <v>372</v>
      </c>
      <c r="B21" s="67"/>
      <c r="C21" s="122">
        <v>11469.583203807357</v>
      </c>
      <c r="D21" s="122">
        <f>+D8+D9+D10+D11+D12+D19+D20</f>
        <v>12306.303084691688</v>
      </c>
      <c r="E21" s="122">
        <f>+E8+E9+E10+E11+E12+E19+E20</f>
        <v>14888.039346474614</v>
      </c>
      <c r="F21" s="122">
        <f>+F8+F9+F10+F11+F12+F19+F20</f>
        <v>17664.98315373155</v>
      </c>
      <c r="G21" s="122">
        <f>+G8+G9+G10+G11+G12+G19+G20</f>
        <v>20409.407362166643</v>
      </c>
      <c r="H21" s="122">
        <f>+H8+H9+H10+H11+H12+H19+H20</f>
        <v>22583.693336139426</v>
      </c>
    </row>
    <row r="22" spans="1:8" s="68" customFormat="1" ht="17.25" customHeight="1">
      <c r="A22" s="21"/>
      <c r="B22" s="67"/>
      <c r="C22" s="131"/>
      <c r="D22" s="131"/>
      <c r="E22" s="131"/>
      <c r="F22" s="131"/>
      <c r="G22" s="131"/>
      <c r="H22" s="131"/>
    </row>
    <row r="23" spans="1:8" s="68" customFormat="1" ht="17.25" customHeight="1">
      <c r="A23" s="63" t="s">
        <v>78</v>
      </c>
      <c r="B23" s="67"/>
      <c r="C23" s="131"/>
      <c r="D23" s="131"/>
      <c r="E23" s="131"/>
      <c r="F23" s="131"/>
      <c r="G23" s="131"/>
      <c r="H23" s="131"/>
    </row>
    <row r="24" spans="1:8" s="68" customFormat="1" ht="17.25" customHeight="1">
      <c r="A24" s="98" t="s">
        <v>70</v>
      </c>
      <c r="B24" s="67"/>
      <c r="C24" s="131">
        <v>454.44</v>
      </c>
      <c r="D24" s="131">
        <f>+C24</f>
        <v>454.44</v>
      </c>
      <c r="E24" s="131">
        <f>+D24</f>
        <v>454.44</v>
      </c>
      <c r="F24" s="131">
        <f>+E24</f>
        <v>454.44</v>
      </c>
      <c r="G24" s="131">
        <f>+F24</f>
        <v>454.44</v>
      </c>
      <c r="H24" s="131">
        <f>+G24</f>
        <v>454.44</v>
      </c>
    </row>
    <row r="25" spans="1:8" s="68" customFormat="1" ht="17.25" customHeight="1">
      <c r="A25" s="99" t="s">
        <v>71</v>
      </c>
      <c r="B25" s="67"/>
      <c r="C25" s="287">
        <v>1790.46</v>
      </c>
      <c r="D25" s="287">
        <f>+'1.1n(Res.)'!D8+'1.1n(Res.)'!D10+'1.1n(Res.)'!D11+'1.1n(Res.)'!D13+'1.1n(Res.)'!D12</f>
        <v>1735.46</v>
      </c>
      <c r="E25" s="287">
        <f>+'1.1n(Res.)'!E8+'1.1n(Res.)'!E10+'1.1n(Res.)'!E11+'1.1n(Res.)'!E13+'1.1n(Res.)'!E12</f>
        <v>1777.6200000000001</v>
      </c>
      <c r="F25" s="287">
        <f>+'1.1n(Res.)'!F8+'1.1n(Res.)'!F10+'1.1n(Res.)'!F11+'1.1n(Res.)'!F13+'1.1n(Res.)'!F12</f>
        <v>1832.6200000000001</v>
      </c>
      <c r="G25" s="287">
        <f>+'1.1n(Res.)'!G8+'1.1n(Res.)'!G10+'1.1n(Res.)'!G11+'1.1n(Res.)'!G13+'1.1n(Res.)'!G12</f>
        <v>1840.69</v>
      </c>
      <c r="H25" s="287">
        <f>+'1.1n(Res.)'!H8+'1.1n(Res.)'!H10+'1.1n(Res.)'!H11+'1.1n(Res.)'!H13+'1.1n(Res.)'!H12</f>
        <v>1875.69</v>
      </c>
    </row>
    <row r="26" spans="1:8" s="68" customFormat="1" ht="17.25" customHeight="1">
      <c r="A26" s="165" t="s">
        <v>508</v>
      </c>
      <c r="B26" s="67"/>
      <c r="C26" s="287">
        <v>4788.738999999999</v>
      </c>
      <c r="D26" s="287">
        <f>+'1.1g(Loan)'!M144</f>
        <v>5122.139</v>
      </c>
      <c r="E26" s="287">
        <f>+'1.1g(Loan)'!M217</f>
        <v>6846.518999999998</v>
      </c>
      <c r="F26" s="287">
        <f>+'1.1g(Loan)'!M291</f>
        <v>8467.589</v>
      </c>
      <c r="G26" s="287">
        <f>+'1.1g(Loan)'!M364</f>
        <v>9927.499</v>
      </c>
      <c r="H26" s="287">
        <f>+'1.1g(Loan)'!M438</f>
        <v>10881.579</v>
      </c>
    </row>
    <row r="27" spans="1:8" s="68" customFormat="1" ht="17.25" customHeight="1">
      <c r="A27" s="165" t="s">
        <v>626</v>
      </c>
      <c r="B27" s="67"/>
      <c r="C27" s="287">
        <v>810.14</v>
      </c>
      <c r="D27" s="287">
        <f>'1.1k(CL)'!D22</f>
        <v>1177</v>
      </c>
      <c r="E27" s="287">
        <f>'1.1k(CL)'!E22</f>
        <v>1379</v>
      </c>
      <c r="F27" s="287">
        <f>'1.1k(CL)'!F22</f>
        <v>1570</v>
      </c>
      <c r="G27" s="287">
        <f>'1.1k(CL)'!G22</f>
        <v>1734</v>
      </c>
      <c r="H27" s="287">
        <f>'1.1k(CL)'!H22</f>
        <v>1902</v>
      </c>
    </row>
    <row r="28" spans="1:8" s="68" customFormat="1" ht="17.25" customHeight="1">
      <c r="A28" s="99" t="s">
        <v>72</v>
      </c>
      <c r="B28" s="67"/>
      <c r="C28" s="287">
        <v>0</v>
      </c>
      <c r="D28" s="287">
        <f>0</f>
        <v>0</v>
      </c>
      <c r="E28" s="287">
        <f>0</f>
        <v>0</v>
      </c>
      <c r="F28" s="287">
        <f>0</f>
        <v>0</v>
      </c>
      <c r="G28" s="287">
        <f>0</f>
        <v>0</v>
      </c>
      <c r="H28" s="287">
        <f>0</f>
        <v>0</v>
      </c>
    </row>
    <row r="29" spans="1:8" s="68" customFormat="1" ht="17.25" customHeight="1">
      <c r="A29" s="99" t="s">
        <v>73</v>
      </c>
      <c r="B29" s="67"/>
      <c r="C29" s="131"/>
      <c r="D29" s="131"/>
      <c r="E29" s="131"/>
      <c r="F29" s="131"/>
      <c r="G29" s="131"/>
      <c r="H29" s="131"/>
    </row>
    <row r="30" spans="1:8" s="68" customFormat="1" ht="17.25" customHeight="1">
      <c r="A30" s="98" t="s">
        <v>74</v>
      </c>
      <c r="B30" s="67"/>
      <c r="C30" s="287">
        <v>1441.635</v>
      </c>
      <c r="D30" s="287">
        <f>+'1.1k(CL)'!D21</f>
        <v>1426.4740533333334</v>
      </c>
      <c r="E30" s="287">
        <f>+'1.1k(CL)'!E21</f>
        <v>1674.1960755</v>
      </c>
      <c r="F30" s="287">
        <f>+'1.1k(CL)'!F21</f>
        <v>1955.9980935</v>
      </c>
      <c r="G30" s="287">
        <f>+'1.1k(CL)'!G21</f>
        <v>2380.6339511666665</v>
      </c>
      <c r="H30" s="287">
        <f>+'1.1k(CL)'!H21</f>
        <v>2573.0008331666663</v>
      </c>
    </row>
    <row r="31" spans="1:8" s="68" customFormat="1" ht="17.25" customHeight="1">
      <c r="A31" s="165" t="s">
        <v>509</v>
      </c>
      <c r="B31" s="67"/>
      <c r="C31" s="287">
        <v>975.1100000000001</v>
      </c>
      <c r="D31" s="287">
        <f>+'1.1n(Res.)'!D7</f>
        <v>996.5900000000001</v>
      </c>
      <c r="E31" s="287">
        <f>+'1.1n(Res.)'!E7</f>
        <v>1017.0500000000002</v>
      </c>
      <c r="F31" s="287">
        <f>+'1.1n(Res.)'!F7</f>
        <v>1110.8400000000001</v>
      </c>
      <c r="G31" s="287">
        <f>+'1.1n(Res.)'!G7</f>
        <v>1281.5200000000002</v>
      </c>
      <c r="H31" s="287">
        <f>+'1.1n(Res.)'!H7</f>
        <v>1457.8095000000003</v>
      </c>
    </row>
    <row r="32" spans="1:8" s="68" customFormat="1" ht="17.25" customHeight="1">
      <c r="A32" s="98" t="s">
        <v>75</v>
      </c>
      <c r="B32" s="67"/>
      <c r="C32" s="131"/>
      <c r="D32" s="131"/>
      <c r="E32" s="131"/>
      <c r="F32" s="131"/>
      <c r="G32" s="131"/>
      <c r="H32" s="131"/>
    </row>
    <row r="33" spans="1:8" s="68" customFormat="1" ht="25.5">
      <c r="A33" s="166" t="s">
        <v>510</v>
      </c>
      <c r="B33" s="7"/>
      <c r="C33" s="288">
        <v>317.46999999999997</v>
      </c>
      <c r="D33" s="287">
        <f>C33-60</f>
        <v>257.46999999999997</v>
      </c>
      <c r="E33" s="287">
        <f>D33+30+23</f>
        <v>310.46999999999997</v>
      </c>
      <c r="F33" s="287">
        <f>E33+90+69.28+1.21</f>
        <v>470.96</v>
      </c>
      <c r="G33" s="287">
        <f>F33+30</f>
        <v>500.96</v>
      </c>
      <c r="H33" s="287">
        <f>G33+50</f>
        <v>550.96</v>
      </c>
    </row>
    <row r="34" spans="1:8" s="68" customFormat="1" ht="17.25" customHeight="1">
      <c r="A34" s="84"/>
      <c r="B34" s="7"/>
      <c r="C34" s="131"/>
      <c r="D34" s="131"/>
      <c r="E34" s="131"/>
      <c r="F34" s="131"/>
      <c r="G34" s="131"/>
      <c r="H34" s="131"/>
    </row>
    <row r="35" spans="1:8" s="68" customFormat="1" ht="17.25" customHeight="1">
      <c r="A35" s="99" t="s">
        <v>396</v>
      </c>
      <c r="B35" s="67"/>
      <c r="C35" s="131">
        <v>143.61</v>
      </c>
      <c r="D35" s="131">
        <f>+C35</f>
        <v>143.61</v>
      </c>
      <c r="E35" s="131">
        <f>+D35</f>
        <v>143.61</v>
      </c>
      <c r="F35" s="131">
        <f>+E35</f>
        <v>143.61</v>
      </c>
      <c r="G35" s="131">
        <f>+F35</f>
        <v>143.61</v>
      </c>
      <c r="H35" s="131">
        <f>+G35</f>
        <v>143.61</v>
      </c>
    </row>
    <row r="36" spans="1:8" s="68" customFormat="1" ht="17.25" customHeight="1">
      <c r="A36" s="99" t="s">
        <v>76</v>
      </c>
      <c r="B36" s="67"/>
      <c r="C36" s="287">
        <v>747.9776429867532</v>
      </c>
      <c r="D36" s="287">
        <f>+'1.1n(Res.)'!D16</f>
        <v>993.1225055372198</v>
      </c>
      <c r="E36" s="287">
        <f>+'1.1n(Res.)'!E16</f>
        <v>1285.1319314302477</v>
      </c>
      <c r="F36" s="287">
        <f>+'1.1n(Res.)'!F16</f>
        <v>1658.9212682933448</v>
      </c>
      <c r="G36" s="287">
        <f>+'1.1n(Res.)'!G16</f>
        <v>2146.048847913497</v>
      </c>
      <c r="H36" s="287">
        <f>+'1.1n(Res.)'!H16</f>
        <v>2744.598667724399</v>
      </c>
    </row>
    <row r="37" spans="1:8" s="68" customFormat="1" ht="17.25" customHeight="1">
      <c r="A37" s="69" t="s">
        <v>373</v>
      </c>
      <c r="B37" s="67"/>
      <c r="C37" s="122">
        <v>11469.581642986752</v>
      </c>
      <c r="D37" s="122">
        <f>SUM(D24:D36)</f>
        <v>12306.305558870554</v>
      </c>
      <c r="E37" s="122">
        <f>SUM(E24:E36)</f>
        <v>14888.037006930244</v>
      </c>
      <c r="F37" s="122">
        <f>SUM(F24:F36)</f>
        <v>17664.978361793343</v>
      </c>
      <c r="G37" s="122">
        <f>SUM(G24:G36)</f>
        <v>20409.401799080166</v>
      </c>
      <c r="H37" s="122">
        <f>SUM(H24:H36)</f>
        <v>22583.688000891063</v>
      </c>
    </row>
    <row r="38" ht="12.75">
      <c r="A38" s="20"/>
    </row>
    <row r="39" spans="1:8" ht="12.75">
      <c r="A39" s="20"/>
      <c r="C39" s="20">
        <v>0.0015608206049364526</v>
      </c>
      <c r="D39" s="20">
        <f>D21-D37</f>
        <v>-0.002474178865668364</v>
      </c>
      <c r="E39" s="20">
        <f>E21-E37</f>
        <v>0.0023395443695335416</v>
      </c>
      <c r="F39" s="20">
        <f>F21-F37</f>
        <v>0.004791938208654756</v>
      </c>
      <c r="G39" s="20">
        <f>G21-G37</f>
        <v>0.005563086477195611</v>
      </c>
      <c r="H39" s="20">
        <f>H21-H37</f>
        <v>0.005335248362825951</v>
      </c>
    </row>
    <row r="40" ht="12.75">
      <c r="A40" s="20"/>
    </row>
    <row r="41" ht="12.75">
      <c r="A41" s="20"/>
    </row>
    <row r="42" spans="1:8" ht="12.75">
      <c r="A42" s="10"/>
      <c r="C42" s="20"/>
      <c r="D42" s="20"/>
      <c r="E42" s="20"/>
      <c r="F42" s="20"/>
      <c r="G42" s="20"/>
      <c r="H42" s="20"/>
    </row>
    <row r="43" spans="1:9" ht="12.75">
      <c r="A43" s="239"/>
      <c r="B43" s="110"/>
      <c r="C43" s="240"/>
      <c r="D43" s="240"/>
      <c r="E43" s="240"/>
      <c r="F43" s="240"/>
      <c r="G43" s="240"/>
      <c r="H43" s="240"/>
      <c r="I43" s="110"/>
    </row>
    <row r="44" spans="1:9" ht="12.75">
      <c r="A44" s="241"/>
      <c r="B44" s="110"/>
      <c r="C44" s="240"/>
      <c r="D44" s="240"/>
      <c r="E44" s="240"/>
      <c r="F44" s="240"/>
      <c r="G44" s="240"/>
      <c r="H44" s="240"/>
      <c r="I44" s="110"/>
    </row>
    <row r="45" spans="1:9" ht="12.75">
      <c r="A45" s="240"/>
      <c r="B45" s="110"/>
      <c r="C45" s="110"/>
      <c r="D45" s="110"/>
      <c r="E45" s="110"/>
      <c r="F45" s="110"/>
      <c r="G45" s="110"/>
      <c r="H45" s="110"/>
      <c r="I45" s="110"/>
    </row>
    <row r="46" spans="1:9" ht="12.75">
      <c r="A46" s="240"/>
      <c r="B46" s="110"/>
      <c r="C46" s="110"/>
      <c r="D46" s="110"/>
      <c r="E46" s="110"/>
      <c r="F46" s="110"/>
      <c r="G46" s="110"/>
      <c r="H46" s="110"/>
      <c r="I46" s="110"/>
    </row>
    <row r="47" spans="1:9" ht="12.75">
      <c r="A47" s="240"/>
      <c r="B47" s="110"/>
      <c r="C47" s="110"/>
      <c r="D47" s="110"/>
      <c r="E47" s="110"/>
      <c r="F47" s="110"/>
      <c r="G47" s="110"/>
      <c r="H47" s="240"/>
      <c r="I47" s="110"/>
    </row>
    <row r="48" spans="1:9" ht="12.75">
      <c r="A48" s="240"/>
      <c r="B48" s="110"/>
      <c r="C48" s="110"/>
      <c r="D48" s="110"/>
      <c r="E48" s="110"/>
      <c r="F48" s="110"/>
      <c r="G48" s="110"/>
      <c r="H48" s="110"/>
      <c r="I48" s="110"/>
    </row>
    <row r="49" spans="1:9" ht="12.75">
      <c r="A49" s="239"/>
      <c r="B49" s="110"/>
      <c r="C49" s="240"/>
      <c r="D49" s="240"/>
      <c r="E49" s="240"/>
      <c r="F49" s="240"/>
      <c r="G49" s="240"/>
      <c r="H49" s="240"/>
      <c r="I49" s="110"/>
    </row>
    <row r="50" spans="1:9" ht="12.75">
      <c r="A50" s="239"/>
      <c r="B50" s="110"/>
      <c r="C50" s="240"/>
      <c r="D50" s="240"/>
      <c r="E50" s="240"/>
      <c r="F50" s="240"/>
      <c r="G50" s="240"/>
      <c r="H50" s="240"/>
      <c r="I50" s="110"/>
    </row>
    <row r="51" spans="1:9" ht="12.75">
      <c r="A51" s="241"/>
      <c r="B51" s="110"/>
      <c r="C51" s="240"/>
      <c r="D51" s="240"/>
      <c r="E51" s="240"/>
      <c r="F51" s="240"/>
      <c r="G51" s="240"/>
      <c r="H51" s="240"/>
      <c r="I51" s="110"/>
    </row>
    <row r="52" spans="1:9" ht="12.75">
      <c r="A52" s="240"/>
      <c r="B52" s="110"/>
      <c r="C52" s="110"/>
      <c r="D52" s="110"/>
      <c r="E52" s="110"/>
      <c r="F52" s="110"/>
      <c r="G52" s="110"/>
      <c r="H52" s="110"/>
      <c r="I52" s="110"/>
    </row>
    <row r="53" spans="1:9" ht="12.75">
      <c r="A53" s="240"/>
      <c r="B53" s="110"/>
      <c r="C53" s="110"/>
      <c r="D53" s="110"/>
      <c r="E53" s="110"/>
      <c r="F53" s="110"/>
      <c r="G53" s="110"/>
      <c r="H53" s="110"/>
      <c r="I53" s="110"/>
    </row>
    <row r="54" spans="1:9" ht="12.75">
      <c r="A54" s="240"/>
      <c r="B54" s="110"/>
      <c r="C54" s="110"/>
      <c r="D54" s="110"/>
      <c r="E54" s="110"/>
      <c r="F54" s="110"/>
      <c r="G54" s="110"/>
      <c r="H54" s="110"/>
      <c r="I54" s="110"/>
    </row>
    <row r="55" spans="1:9" ht="12.75">
      <c r="A55" s="240"/>
      <c r="B55" s="110"/>
      <c r="C55" s="110"/>
      <c r="D55" s="110"/>
      <c r="E55" s="110"/>
      <c r="F55" s="110"/>
      <c r="G55" s="110"/>
      <c r="H55" s="110"/>
      <c r="I55" s="110"/>
    </row>
    <row r="56" spans="1:9" ht="12.75">
      <c r="A56" s="240"/>
      <c r="B56" s="110"/>
      <c r="C56" s="110"/>
      <c r="D56" s="110"/>
      <c r="E56" s="110"/>
      <c r="F56" s="110"/>
      <c r="G56" s="110"/>
      <c r="H56" s="110"/>
      <c r="I56" s="110"/>
    </row>
    <row r="57" spans="1:9" ht="12.75">
      <c r="A57" s="110"/>
      <c r="B57" s="110"/>
      <c r="C57" s="240"/>
      <c r="D57" s="240"/>
      <c r="E57" s="240"/>
      <c r="F57" s="240"/>
      <c r="G57" s="240"/>
      <c r="H57" s="240"/>
      <c r="I57" s="110"/>
    </row>
    <row r="58" spans="1:9" ht="12.75">
      <c r="A58" s="110"/>
      <c r="B58" s="110"/>
      <c r="C58" s="110"/>
      <c r="D58" s="110"/>
      <c r="E58" s="110"/>
      <c r="F58" s="110"/>
      <c r="G58" s="110"/>
      <c r="H58" s="110"/>
      <c r="I58" s="110"/>
    </row>
    <row r="59" spans="1:9" ht="12.75">
      <c r="A59" s="110"/>
      <c r="B59" s="110"/>
      <c r="C59" s="240"/>
      <c r="D59" s="240"/>
      <c r="E59" s="240"/>
      <c r="F59" s="240"/>
      <c r="G59" s="240"/>
      <c r="H59" s="240"/>
      <c r="I59" s="110"/>
    </row>
    <row r="60" spans="1:9" ht="12.75">
      <c r="A60" s="110"/>
      <c r="B60" s="110"/>
      <c r="C60" s="240"/>
      <c r="D60" s="240"/>
      <c r="E60" s="240"/>
      <c r="F60" s="240"/>
      <c r="G60" s="240"/>
      <c r="H60" s="240"/>
      <c r="I60" s="110"/>
    </row>
    <row r="61" spans="1:9" ht="12.75">
      <c r="A61" s="110"/>
      <c r="B61" s="110"/>
      <c r="C61" s="240"/>
      <c r="D61" s="240"/>
      <c r="E61" s="240"/>
      <c r="F61" s="240"/>
      <c r="G61" s="240"/>
      <c r="H61" s="240"/>
      <c r="I61" s="110"/>
    </row>
    <row r="62" spans="1:9" ht="12.75">
      <c r="A62" s="110"/>
      <c r="B62" s="110"/>
      <c r="C62" s="240"/>
      <c r="D62" s="110"/>
      <c r="E62" s="110"/>
      <c r="F62" s="110"/>
      <c r="G62" s="110"/>
      <c r="H62" s="110"/>
      <c r="I62" s="110"/>
    </row>
    <row r="63" spans="1:9" ht="12.75">
      <c r="A63" s="110"/>
      <c r="B63" s="110"/>
      <c r="C63" s="240"/>
      <c r="D63" s="240"/>
      <c r="E63" s="240"/>
      <c r="F63" s="240"/>
      <c r="G63" s="240"/>
      <c r="H63" s="240"/>
      <c r="I63" s="110"/>
    </row>
    <row r="64" spans="1:9" ht="12.75">
      <c r="A64" s="110"/>
      <c r="B64" s="110"/>
      <c r="C64" s="110"/>
      <c r="D64" s="110"/>
      <c r="E64" s="110"/>
      <c r="F64" s="110"/>
      <c r="G64" s="110"/>
      <c r="H64" s="110"/>
      <c r="I64" s="110"/>
    </row>
    <row r="65" ht="12.75">
      <c r="C65" s="20"/>
    </row>
    <row r="67" spans="3:8" ht="12.75">
      <c r="C67" s="20"/>
      <c r="D67" s="20"/>
      <c r="E67" s="20"/>
      <c r="F67" s="20"/>
      <c r="G67" s="20"/>
      <c r="H67" s="20"/>
    </row>
  </sheetData>
  <sheetProtection/>
  <printOptions horizontalCentered="1"/>
  <pageMargins left="0.17" right="0.17" top="0.62" bottom="1" header="0.24" footer="0.5"/>
  <pageSetup horizontalDpi="600" verticalDpi="600" orientation="landscape" scale="83" r:id="rId1"/>
</worksheet>
</file>

<file path=xl/worksheets/sheet8.xml><?xml version="1.0" encoding="utf-8"?>
<worksheet xmlns="http://schemas.openxmlformats.org/spreadsheetml/2006/main" xmlns:r="http://schemas.openxmlformats.org/officeDocument/2006/relationships">
  <dimension ref="A1:I53"/>
  <sheetViews>
    <sheetView zoomScalePageLayoutView="0" workbookViewId="0" topLeftCell="A1">
      <selection activeCell="J18" sqref="J18"/>
    </sheetView>
  </sheetViews>
  <sheetFormatPr defaultColWidth="9.140625" defaultRowHeight="12.75"/>
  <cols>
    <col min="1" max="1" width="56.8515625" style="168" bestFit="1" customWidth="1"/>
    <col min="2" max="2" width="6.7109375" style="227" bestFit="1" customWidth="1"/>
    <col min="3" max="3" width="11.140625" style="227" customWidth="1"/>
    <col min="4" max="4" width="10.57421875" style="227" bestFit="1" customWidth="1"/>
    <col min="5" max="5" width="12.7109375" style="227" bestFit="1" customWidth="1"/>
    <col min="6" max="8" width="10.57421875" style="227" bestFit="1" customWidth="1"/>
    <col min="9" max="9" width="19.57421875" style="227" bestFit="1" customWidth="1"/>
    <col min="10" max="16384" width="9.140625" style="227" customWidth="1"/>
  </cols>
  <sheetData>
    <row r="1" ht="12.75">
      <c r="A1" s="169"/>
    </row>
    <row r="2" ht="12.75">
      <c r="A2" s="169"/>
    </row>
    <row r="3" spans="1:5" ht="12.75">
      <c r="A3" s="229" t="s">
        <v>208</v>
      </c>
      <c r="E3" s="227" t="s">
        <v>375</v>
      </c>
    </row>
    <row r="4" ht="12.75">
      <c r="A4" s="229"/>
    </row>
    <row r="5" spans="1:8" ht="38.25">
      <c r="A5" s="260" t="s">
        <v>209</v>
      </c>
      <c r="B5" s="248" t="s">
        <v>13</v>
      </c>
      <c r="C5" s="258" t="s">
        <v>644</v>
      </c>
      <c r="D5" s="252" t="s">
        <v>481</v>
      </c>
      <c r="E5" s="252" t="s">
        <v>482</v>
      </c>
      <c r="F5" s="252" t="s">
        <v>483</v>
      </c>
      <c r="G5" s="252" t="s">
        <v>484</v>
      </c>
      <c r="H5" s="252" t="s">
        <v>485</v>
      </c>
    </row>
    <row r="6" spans="1:8" ht="12.75">
      <c r="A6" s="228" t="s">
        <v>634</v>
      </c>
      <c r="B6" s="231"/>
      <c r="C6" s="84">
        <v>280.0240839762546</v>
      </c>
      <c r="D6" s="84">
        <f>+'1.1(i) (BS)'!D36-'1.1(i) (BS)'!C36+D18</f>
        <v>309.3888354550335</v>
      </c>
      <c r="E6" s="84">
        <f>+'1.1(i) (BS)'!E36-'1.1(i) (BS)'!D36+E18</f>
        <v>368.53497674395715</v>
      </c>
      <c r="F6" s="84">
        <f>+'1.1(i) (BS)'!F36-'1.1(i) (BS)'!E36+F18</f>
        <v>471.74656827154746</v>
      </c>
      <c r="G6" s="84">
        <f>+'1.1(i) (BS)'!G36-'1.1(i) (BS)'!F36+G18</f>
        <v>614.7868366838882</v>
      </c>
      <c r="H6" s="84">
        <f>+'1.1(i) (BS)'!H36-'1.1(i) (BS)'!G36+H18</f>
        <v>755.4089846569482</v>
      </c>
    </row>
    <row r="7" spans="1:8" ht="12.75">
      <c r="A7" s="232" t="s">
        <v>210</v>
      </c>
      <c r="B7" s="231"/>
      <c r="C7" s="84">
        <v>540.8500000000004</v>
      </c>
      <c r="D7" s="84">
        <f>+'1.1(i) (BS)'!D7-'1.1(i) (BS)'!C7</f>
        <v>599.4499999999989</v>
      </c>
      <c r="E7" s="84">
        <f>+'1.1(i) (BS)'!E7-'1.1(i) (BS)'!D7</f>
        <v>674.0200000000013</v>
      </c>
      <c r="F7" s="84">
        <f>+'1.1(i) (BS)'!F7-'1.1(i) (BS)'!E7</f>
        <v>828.6999999999998</v>
      </c>
      <c r="G7" s="84">
        <f>+'1.1(i) (BS)'!G7-'1.1(i) (BS)'!F7</f>
        <v>1056.0999999999995</v>
      </c>
      <c r="H7" s="84">
        <f>+'1.1(i) (BS)'!H7-'1.1(i) (BS)'!G7</f>
        <v>1350.9499999999998</v>
      </c>
    </row>
    <row r="8" spans="1:8" ht="12.75">
      <c r="A8" s="232" t="s">
        <v>407</v>
      </c>
      <c r="B8" s="231"/>
      <c r="C8" s="84">
        <v>0</v>
      </c>
      <c r="D8" s="84">
        <f>+'1.1n(Res.)'!D8-'1.1n(Res.)'!C8</f>
        <v>0</v>
      </c>
      <c r="E8" s="84">
        <f>+'1.1n(Res.)'!E8-'1.1n(Res.)'!D8</f>
        <v>0</v>
      </c>
      <c r="F8" s="84">
        <f>+'1.1n(Res.)'!F8-'1.1n(Res.)'!E8</f>
        <v>0</v>
      </c>
      <c r="G8" s="84">
        <f>+'1.1n(Res.)'!G8-'1.1n(Res.)'!F8</f>
        <v>0</v>
      </c>
      <c r="H8" s="84">
        <f>+'1.1n(Res.)'!H8-'1.1n(Res.)'!G8</f>
        <v>0</v>
      </c>
    </row>
    <row r="9" spans="1:8" ht="12.75">
      <c r="A9" s="228" t="s">
        <v>633</v>
      </c>
      <c r="B9" s="231"/>
      <c r="C9" s="84">
        <v>51.76999999999998</v>
      </c>
      <c r="D9" s="84">
        <f>-('1.1(i) (BS)'!D25-'1.1(i) (BS)'!C25)</f>
        <v>55</v>
      </c>
      <c r="E9" s="84">
        <f>-('1.1(i) (BS)'!E25-'1.1(i) (BS)'!D25)</f>
        <v>-42.16000000000008</v>
      </c>
      <c r="F9" s="84">
        <f>-('1.1(i) (BS)'!F25-'1.1(i) (BS)'!E25)</f>
        <v>-55</v>
      </c>
      <c r="G9" s="84">
        <f>-('1.1(i) (BS)'!G25-'1.1(i) (BS)'!F25)</f>
        <v>-8.069999999999936</v>
      </c>
      <c r="H9" s="84">
        <f>-('1.1(i) (BS)'!H25-'1.1(i) (BS)'!G25)</f>
        <v>-35</v>
      </c>
    </row>
    <row r="10" spans="1:8" ht="12.75">
      <c r="A10" s="228" t="s">
        <v>406</v>
      </c>
      <c r="B10" s="231"/>
      <c r="C10" s="84">
        <v>500.44599999999997</v>
      </c>
      <c r="D10" s="84">
        <f>+'1.1g(Loan)'!N141</f>
        <v>638.87114</v>
      </c>
      <c r="E10" s="84">
        <f>+'1.1g(Loan)'!N214</f>
        <v>762.3909060000001</v>
      </c>
      <c r="F10" s="84">
        <f>+'1.1g(Loan)'!N288</f>
        <v>942.134922</v>
      </c>
      <c r="G10" s="84">
        <f>+'1.1g(Loan)'!N361</f>
        <v>1120.6881139999998</v>
      </c>
      <c r="H10" s="84">
        <f>+'1.1g(Loan)'!N434</f>
        <v>1274.474768</v>
      </c>
    </row>
    <row r="11" spans="1:8" ht="12.75">
      <c r="A11" s="228" t="s">
        <v>629</v>
      </c>
      <c r="B11" s="231"/>
      <c r="C11" s="84">
        <v>-5.73</v>
      </c>
      <c r="D11" s="84">
        <f>-(+'10 (NTI)'!D6+'10 (NTI)'!D7+'10 (NTI)'!D9)</f>
        <v>-5.85</v>
      </c>
      <c r="E11" s="84">
        <f>-(+'10 (NTI)'!E6+'10 (NTI)'!E7+'10 (NTI)'!E9)</f>
        <v>-5.97</v>
      </c>
      <c r="F11" s="84">
        <f>-(+'10 (NTI)'!F6+'10 (NTI)'!F7+'10 (NTI)'!F9)</f>
        <v>-6.099999999999999</v>
      </c>
      <c r="G11" s="84">
        <f>-(+'10 (NTI)'!G6+'10 (NTI)'!G7+'10 (NTI)'!G9)</f>
        <v>-6.229999999999999</v>
      </c>
      <c r="H11" s="84">
        <f>-(+'10 (NTI)'!H6+'10 (NTI)'!H7+'10 (NTI)'!H9)</f>
        <v>-6.349999999999999</v>
      </c>
    </row>
    <row r="12" spans="1:8" ht="12.75">
      <c r="A12" s="228" t="s">
        <v>211</v>
      </c>
      <c r="B12" s="231"/>
      <c r="C12" s="285"/>
      <c r="D12" s="285"/>
      <c r="E12" s="285"/>
      <c r="F12" s="285"/>
      <c r="G12" s="285"/>
      <c r="H12" s="285"/>
    </row>
    <row r="13" spans="1:8" ht="12.75">
      <c r="A13" s="230" t="s">
        <v>212</v>
      </c>
      <c r="B13" s="231"/>
      <c r="C13" s="12">
        <v>1263.8200839762549</v>
      </c>
      <c r="D13" s="12">
        <f>+D6+D7+D8-D9+D10+D11+D12</f>
        <v>1486.8599754550323</v>
      </c>
      <c r="E13" s="12">
        <f>+E6+E7+E8-E9+E10+E11+E12</f>
        <v>1841.1358827439585</v>
      </c>
      <c r="F13" s="12">
        <f>+F6+F7+F8-F9+F10+F11+F12</f>
        <v>2291.4814902715475</v>
      </c>
      <c r="G13" s="12">
        <f>+G6+G7+G8-G9+G10+G11+G12</f>
        <v>2793.414950683887</v>
      </c>
      <c r="H13" s="12">
        <f>+H6+H7+H8-H9+H10+H11+H12</f>
        <v>3409.483752656948</v>
      </c>
    </row>
    <row r="14" spans="1:8" ht="12.75">
      <c r="A14" s="228" t="s">
        <v>213</v>
      </c>
      <c r="B14" s="231"/>
      <c r="C14" s="84">
        <v>92.81866367400004</v>
      </c>
      <c r="D14" s="84">
        <f>-(('1.1(i) (BS)'!D15-'1.1(i) (BS)'!C15)+('1.1(i) (BS)'!D17-'1.1(i) (BS)'!C17)+('1.1(i) (BS)'!D18-'1.1(i) (BS)'!C18))</f>
        <v>-58.63584836568613</v>
      </c>
      <c r="E14" s="84">
        <f>-(('1.1(i) (BS)'!E15-'1.1(i) (BS)'!D15)+('1.1(i) (BS)'!E17-'1.1(i) (BS)'!D17)+('1.1(i) (BS)'!E18-'1.1(i) (BS)'!D18))</f>
        <v>-45.42846678292628</v>
      </c>
      <c r="F14" s="84">
        <f>-(('1.1(i) (BS)'!F15-'1.1(i) (BS)'!E15)+('1.1(i) (BS)'!F17-'1.1(i) (BS)'!E17)+('1.1(i) (BS)'!F18-'1.1(i) (BS)'!E18))</f>
        <v>-39.14562250693689</v>
      </c>
      <c r="G14" s="84">
        <f>-(('1.1(i) (BS)'!G15-'1.1(i) (BS)'!F15)+('1.1(i) (BS)'!G17-'1.1(i) (BS)'!F17)+('1.1(i) (BS)'!G18-'1.1(i) (BS)'!F18))</f>
        <v>-65.37461444758983</v>
      </c>
      <c r="H14" s="84">
        <f>-(('1.1(i) (BS)'!H15-'1.1(i) (BS)'!G15)+('1.1(i) (BS)'!H17-'1.1(i) (BS)'!G17)+('1.1(i) (BS)'!H18-'1.1(i) (BS)'!G18))</f>
        <v>-80.83340028590999</v>
      </c>
    </row>
    <row r="15" spans="1:8" ht="12.75">
      <c r="A15" s="228" t="s">
        <v>214</v>
      </c>
      <c r="B15" s="231"/>
      <c r="C15" s="84">
        <v>199.49999999999997</v>
      </c>
      <c r="D15" s="84">
        <f>-(('1.1(i) (BS)'!D13+'1.1(i) (BS)'!D14)-('1.1(i) (BS)'!C13+'1.1(i) (BS)'!C14))</f>
        <v>-27.150000000000006</v>
      </c>
      <c r="E15" s="84">
        <f>-(('1.1(i) (BS)'!E13+'1.1(i) (BS)'!E14)-('1.1(i) (BS)'!D13+'1.1(i) (BS)'!D14))</f>
        <v>87.15</v>
      </c>
      <c r="F15" s="84">
        <f>-(('1.1(i) (BS)'!F13+'1.1(i) (BS)'!F14)-('1.1(i) (BS)'!E13+'1.1(i) (BS)'!E14))</f>
        <v>-25</v>
      </c>
      <c r="G15" s="84">
        <f>-(('1.1(i) (BS)'!G13+'1.1(i) (BS)'!G14)-('1.1(i) (BS)'!F13+'1.1(i) (BS)'!F14))</f>
        <v>-25</v>
      </c>
      <c r="H15" s="84">
        <f>-(('1.1(i) (BS)'!H13+'1.1(i) (BS)'!H14)-('1.1(i) (BS)'!G13+'1.1(i) (BS)'!G14))</f>
        <v>-5</v>
      </c>
    </row>
    <row r="16" spans="1:8" ht="12.75">
      <c r="A16" s="228" t="s">
        <v>632</v>
      </c>
      <c r="B16" s="167"/>
      <c r="C16" s="84">
        <v>142.7249999999997</v>
      </c>
      <c r="D16" s="84">
        <f>('1.1(i) (BS)'!D30-'1.1(i) (BS)'!C30)+D28+('1.1(i) (BS)'!D33-'1.1(i) (BS)'!C33)</f>
        <v>-60.16094666666663</v>
      </c>
      <c r="E16" s="84">
        <f>('1.1(i) (BS)'!E30-'1.1(i) (BS)'!D30)+E28+('1.1(i) (BS)'!E33-'1.1(i) (BS)'!D33)</f>
        <v>185.72202216666665</v>
      </c>
      <c r="F16" s="84">
        <f>('1.1(i) (BS)'!F30-'1.1(i) (BS)'!E30)+F28+('1.1(i) (BS)'!F33-'1.1(i) (BS)'!E33)</f>
        <v>392.2920180000001</v>
      </c>
      <c r="G16" s="84">
        <f>('1.1(i) (BS)'!G30-'1.1(i) (BS)'!F30)+G28+('1.1(i) (BS)'!G33-'1.1(i) (BS)'!F33)</f>
        <v>404.6358576666664</v>
      </c>
      <c r="H16" s="84">
        <f>('1.1(i) (BS)'!H30-'1.1(i) (BS)'!G30)+H28+('1.1(i) (BS)'!H33-'1.1(i) (BS)'!G33)</f>
        <v>242.36688199999986</v>
      </c>
    </row>
    <row r="17" spans="1:8" ht="12.75">
      <c r="A17" s="230" t="s">
        <v>215</v>
      </c>
      <c r="B17" s="231"/>
      <c r="C17" s="12">
        <v>1698.8637476502545</v>
      </c>
      <c r="D17" s="12">
        <f>SUM(D13:D16)</f>
        <v>1340.9131804226795</v>
      </c>
      <c r="E17" s="12">
        <f>SUM(E13:E16)</f>
        <v>2068.579438127699</v>
      </c>
      <c r="F17" s="12">
        <f>SUM(F13:F16)</f>
        <v>2619.6278857646107</v>
      </c>
      <c r="G17" s="12">
        <f>SUM(G13:G16)</f>
        <v>3107.676193902964</v>
      </c>
      <c r="H17" s="12">
        <f>SUM(H13:H16)</f>
        <v>3566.017234371038</v>
      </c>
    </row>
    <row r="18" spans="1:8" ht="12.75">
      <c r="A18" s="228" t="s">
        <v>631</v>
      </c>
      <c r="B18" s="231"/>
      <c r="C18" s="84">
        <v>58.14644098950134</v>
      </c>
      <c r="D18" s="84">
        <f>'1.0'!D7</f>
        <v>64.24397290456682</v>
      </c>
      <c r="E18" s="84">
        <f>'1.0'!E7</f>
        <v>76.52555085092922</v>
      </c>
      <c r="F18" s="84">
        <f>'1.0'!F7</f>
        <v>97.95723140845035</v>
      </c>
      <c r="G18" s="84">
        <f>'1.0'!G7</f>
        <v>127.65925706373599</v>
      </c>
      <c r="H18" s="84">
        <f>'1.0'!H7</f>
        <v>156.85916484604604</v>
      </c>
    </row>
    <row r="19" spans="1:8" ht="12.75">
      <c r="A19" s="228" t="s">
        <v>217</v>
      </c>
      <c r="B19" s="231"/>
      <c r="C19" s="285"/>
      <c r="D19" s="285"/>
      <c r="E19" s="285"/>
      <c r="F19" s="285"/>
      <c r="G19" s="285"/>
      <c r="H19" s="285"/>
    </row>
    <row r="20" spans="1:8" ht="12.75">
      <c r="A20" s="230" t="s">
        <v>218</v>
      </c>
      <c r="B20" s="233"/>
      <c r="C20" s="289">
        <v>1640.7173066607531</v>
      </c>
      <c r="D20" s="289">
        <f>D17-D18+D19</f>
        <v>1276.6692075181127</v>
      </c>
      <c r="E20" s="289">
        <f>E17-E18+E19</f>
        <v>1992.05388727677</v>
      </c>
      <c r="F20" s="289">
        <f>F17-F18+F19</f>
        <v>2521.6706543561604</v>
      </c>
      <c r="G20" s="289">
        <f>G17-G18+G19</f>
        <v>2980.016936839228</v>
      </c>
      <c r="H20" s="289">
        <f>H17-H18+H19</f>
        <v>3409.158069524992</v>
      </c>
    </row>
    <row r="21" spans="1:8" ht="12.75">
      <c r="A21" s="234" t="s">
        <v>219</v>
      </c>
      <c r="B21" s="233"/>
      <c r="C21" s="290"/>
      <c r="D21" s="290"/>
      <c r="E21" s="290"/>
      <c r="F21" s="290"/>
      <c r="G21" s="290"/>
      <c r="H21" s="290"/>
    </row>
    <row r="22" spans="1:8" ht="12.75">
      <c r="A22" s="228" t="s">
        <v>220</v>
      </c>
      <c r="B22" s="231"/>
      <c r="C22" s="84"/>
      <c r="D22" s="84"/>
      <c r="E22" s="84"/>
      <c r="F22" s="84"/>
      <c r="G22" s="84"/>
      <c r="H22" s="84"/>
    </row>
    <row r="23" spans="1:9" ht="12.75">
      <c r="A23" s="228" t="s">
        <v>221</v>
      </c>
      <c r="B23" s="231"/>
      <c r="C23" s="84">
        <v>2041.803867481357</v>
      </c>
      <c r="D23" s="84">
        <f>+'1.1(i) (BS)'!D6-'1.1(i) (BS)'!C6+'1.1(i) (BS)'!D9-'1.1(i) (BS)'!C9</f>
        <v>1341.1861325186455</v>
      </c>
      <c r="E23" s="84">
        <f>+'1.1(i) (BS)'!E6-'1.1(i) (BS)'!D6+'1.1(i) (BS)'!E9-'1.1(i) (BS)'!D9</f>
        <v>3288.069999999999</v>
      </c>
      <c r="F23" s="84">
        <f>+'1.1(i) (BS)'!F6-'1.1(i) (BS)'!E6+'1.1(i) (BS)'!F9-'1.1(i) (BS)'!E9</f>
        <v>3551.870000000001</v>
      </c>
      <c r="G23" s="84">
        <f>+'1.1(i) (BS)'!G6-'1.1(i) (BS)'!F6+'1.1(i) (BS)'!G9-'1.1(i) (BS)'!F9</f>
        <v>3690.29</v>
      </c>
      <c r="H23" s="84">
        <f>+'1.1(i) (BS)'!H6-'1.1(i) (BS)'!G6+'1.1(i) (BS)'!H9-'1.1(i) (BS)'!G9</f>
        <v>3434.2999999999993</v>
      </c>
      <c r="I23" s="235"/>
    </row>
    <row r="24" spans="1:9" ht="12.75">
      <c r="A24" s="228" t="s">
        <v>222</v>
      </c>
      <c r="B24" s="231"/>
      <c r="C24" s="84">
        <v>0</v>
      </c>
      <c r="D24" s="84">
        <v>0</v>
      </c>
      <c r="E24" s="84">
        <v>0</v>
      </c>
      <c r="F24" s="84">
        <v>0</v>
      </c>
      <c r="G24" s="84">
        <v>0</v>
      </c>
      <c r="H24" s="84">
        <v>0</v>
      </c>
      <c r="I24" s="227">
        <v>0</v>
      </c>
    </row>
    <row r="25" spans="1:8" ht="12.75">
      <c r="A25" s="228" t="s">
        <v>223</v>
      </c>
      <c r="B25" s="231"/>
      <c r="C25" s="84">
        <v>-0.7800000000000002</v>
      </c>
      <c r="D25" s="84">
        <f>D11-D29</f>
        <v>-0.7999999999999998</v>
      </c>
      <c r="E25" s="84">
        <f>E11-E29</f>
        <v>-0.8200000000000003</v>
      </c>
      <c r="F25" s="84">
        <f>F11-F29</f>
        <v>-0.8499999999999996</v>
      </c>
      <c r="G25" s="84">
        <f>G11-G29</f>
        <v>-0.8799999999999999</v>
      </c>
      <c r="H25" s="84">
        <f>H11-H29</f>
        <v>-0.9000000000000004</v>
      </c>
    </row>
    <row r="26" spans="1:8" ht="12.75">
      <c r="A26" s="228" t="s">
        <v>224</v>
      </c>
      <c r="B26" s="231"/>
      <c r="C26" s="84">
        <v>0</v>
      </c>
      <c r="D26" s="84">
        <v>0</v>
      </c>
      <c r="E26" s="84">
        <v>0</v>
      </c>
      <c r="F26" s="84">
        <v>0</v>
      </c>
      <c r="G26" s="84">
        <v>0</v>
      </c>
      <c r="H26" s="84">
        <v>0</v>
      </c>
    </row>
    <row r="27" spans="1:8" ht="12.75">
      <c r="A27" s="228" t="s">
        <v>636</v>
      </c>
      <c r="B27" s="231"/>
      <c r="C27" s="84">
        <v>3.9980000000000047</v>
      </c>
      <c r="D27" s="84">
        <f>(+'1.1(i) (BS)'!D11-'1.1(i) (BS)'!C11)</f>
        <v>4.197900000000004</v>
      </c>
      <c r="E27" s="84">
        <f>(+'1.1(i) (BS)'!E11-'1.1(i) (BS)'!D11)</f>
        <v>4.407795000000007</v>
      </c>
      <c r="F27" s="84">
        <f>(+'1.1(i) (BS)'!F11-'1.1(i) (BS)'!E11)</f>
        <v>4.628184750000003</v>
      </c>
      <c r="G27" s="84">
        <f>(+'1.1(i) (BS)'!G11-'1.1(i) (BS)'!F11)</f>
        <v>4.859593987500006</v>
      </c>
      <c r="H27" s="84">
        <f>(+'1.1(i) (BS)'!H11-'1.1(i) (BS)'!G11)</f>
        <v>5.1025736868750045</v>
      </c>
    </row>
    <row r="28" spans="1:8" ht="12.75">
      <c r="A28" s="228" t="s">
        <v>635</v>
      </c>
      <c r="B28" s="231"/>
      <c r="C28" s="84">
        <v>-15</v>
      </c>
      <c r="D28" s="84">
        <f>-(+'1.1k(CL)'!D11-'1.1k(CL)'!C11)</f>
        <v>15</v>
      </c>
      <c r="E28" s="84">
        <f>-(+'1.1k(CL)'!E11-'1.1k(CL)'!D11)</f>
        <v>-115</v>
      </c>
      <c r="F28" s="84">
        <f>-(+'1.1k(CL)'!F11-'1.1k(CL)'!E11)</f>
        <v>-50</v>
      </c>
      <c r="G28" s="84">
        <f>-(+'1.1k(CL)'!G11-'1.1k(CL)'!F11)</f>
        <v>-50</v>
      </c>
      <c r="H28" s="84">
        <f>-(+'1.1k(CL)'!H11-'1.1k(CL)'!G11)</f>
        <v>0</v>
      </c>
    </row>
    <row r="29" spans="1:8" ht="12.75">
      <c r="A29" s="228" t="s">
        <v>630</v>
      </c>
      <c r="B29" s="231"/>
      <c r="C29" s="291">
        <v>-4.95</v>
      </c>
      <c r="D29" s="291">
        <f>-('10 (NTI)'!D9)</f>
        <v>-5.05</v>
      </c>
      <c r="E29" s="291">
        <f>-('10 (NTI)'!E9)</f>
        <v>-5.1499999999999995</v>
      </c>
      <c r="F29" s="291">
        <f>-('10 (NTI)'!F9)</f>
        <v>-5.249999999999999</v>
      </c>
      <c r="G29" s="291">
        <f>-('10 (NTI)'!G9)</f>
        <v>-5.349999999999999</v>
      </c>
      <c r="H29" s="291">
        <f>-('10 (NTI)'!H9)</f>
        <v>-5.449999999999998</v>
      </c>
    </row>
    <row r="30" spans="1:8" ht="15" customHeight="1">
      <c r="A30" s="230" t="s">
        <v>225</v>
      </c>
      <c r="B30" s="233"/>
      <c r="C30" s="289">
        <v>2025.071867481357</v>
      </c>
      <c r="D30" s="289">
        <f>SUM(D23:D29)</f>
        <v>1354.5340325186455</v>
      </c>
      <c r="E30" s="289">
        <f>SUM(E23:E29)</f>
        <v>3171.5077949999986</v>
      </c>
      <c r="F30" s="289">
        <f>SUM(F23:F29)</f>
        <v>3500.398184750001</v>
      </c>
      <c r="G30" s="289">
        <f>SUM(G23:G29)</f>
        <v>3638.9195939875</v>
      </c>
      <c r="H30" s="289">
        <f>SUM(H23:H29)</f>
        <v>3433.0525736868744</v>
      </c>
    </row>
    <row r="31" spans="1:8" ht="12.75">
      <c r="A31" s="228"/>
      <c r="B31" s="231"/>
      <c r="C31" s="292"/>
      <c r="D31" s="292"/>
      <c r="E31" s="292"/>
      <c r="F31" s="292"/>
      <c r="G31" s="292"/>
      <c r="H31" s="292"/>
    </row>
    <row r="32" spans="1:8" ht="12.75">
      <c r="A32" s="234" t="s">
        <v>226</v>
      </c>
      <c r="B32" s="233"/>
      <c r="C32" s="293"/>
      <c r="D32" s="293"/>
      <c r="E32" s="293"/>
      <c r="F32" s="293"/>
      <c r="G32" s="293"/>
      <c r="H32" s="293"/>
    </row>
    <row r="33" spans="1:8" ht="12.75">
      <c r="A33" s="228" t="s">
        <v>227</v>
      </c>
      <c r="B33" s="231"/>
      <c r="C33" s="84">
        <v>0</v>
      </c>
      <c r="D33" s="84">
        <f>+'1.1(i) (BS)'!D24-'1.1(i) (BS)'!C24</f>
        <v>0</v>
      </c>
      <c r="E33" s="84">
        <f>+'1.1(i) (BS)'!E24-'1.1(i) (BS)'!D24</f>
        <v>0</v>
      </c>
      <c r="F33" s="84">
        <f>+'1.1(i) (BS)'!F24-'1.1(i) (BS)'!E24</f>
        <v>0</v>
      </c>
      <c r="G33" s="84">
        <f>+'1.1(i) (BS)'!G24-'1.1(i) (BS)'!F24</f>
        <v>0</v>
      </c>
      <c r="H33" s="84">
        <f>+'1.1(i) (BS)'!H24-'1.1(i) (BS)'!G24</f>
        <v>0</v>
      </c>
    </row>
    <row r="34" spans="1:8" ht="12.75">
      <c r="A34" s="228" t="s">
        <v>228</v>
      </c>
      <c r="B34" s="231"/>
      <c r="C34" s="84">
        <v>1132.9899999999998</v>
      </c>
      <c r="D34" s="84">
        <f>+'1.1g(Loan)'!K141</f>
        <v>1252.6799999999998</v>
      </c>
      <c r="E34" s="84">
        <f>+'1.1g(Loan)'!K214</f>
        <v>2604.07</v>
      </c>
      <c r="F34" s="84">
        <f>+'1.1g(Loan)'!K288</f>
        <v>2746.66</v>
      </c>
      <c r="G34" s="84">
        <f>+'1.1g(Loan)'!K361</f>
        <v>2833.1699999999996</v>
      </c>
      <c r="H34" s="84">
        <f>+'1.1g(Loan)'!K434</f>
        <v>2614.64</v>
      </c>
    </row>
    <row r="35" spans="1:8" ht="12.75">
      <c r="A35" s="228" t="s">
        <v>229</v>
      </c>
      <c r="B35" s="231"/>
      <c r="C35" s="84">
        <v>466.02</v>
      </c>
      <c r="D35" s="84">
        <f>+'1.1g(Loan)'!L141</f>
        <v>552.42</v>
      </c>
      <c r="E35" s="84">
        <f>+'1.1g(Loan)'!L214</f>
        <v>677.69</v>
      </c>
      <c r="F35" s="84">
        <f>+'1.1g(Loan)'!L288</f>
        <v>934.59</v>
      </c>
      <c r="G35" s="84">
        <f>+'1.1g(Loan)'!L361</f>
        <v>1209.2599999999998</v>
      </c>
      <c r="H35" s="84">
        <f>+'1.1g(Loan)'!L434</f>
        <v>1492.5600000000002</v>
      </c>
    </row>
    <row r="36" spans="1:8" ht="12.75">
      <c r="A36" s="228" t="s">
        <v>628</v>
      </c>
      <c r="B36" s="231"/>
      <c r="C36" s="84">
        <v>64.3900000000001</v>
      </c>
      <c r="D36" s="84">
        <f>+'1.1(i) (BS)'!D31-'1.1(i) (BS)'!C31</f>
        <v>21.480000000000018</v>
      </c>
      <c r="E36" s="84">
        <f>+'1.1(i) (BS)'!E31-'1.1(i) (BS)'!D31</f>
        <v>20.460000000000036</v>
      </c>
      <c r="F36" s="84">
        <f>+'1.1(i) (BS)'!F31-'1.1(i) (BS)'!E31</f>
        <v>93.78999999999996</v>
      </c>
      <c r="G36" s="84">
        <f>+'1.1(i) (BS)'!G31-'1.1(i) (BS)'!F31</f>
        <v>170.68000000000006</v>
      </c>
      <c r="H36" s="84">
        <f>+'1.1(i) (BS)'!H31-'1.1(i) (BS)'!G31</f>
        <v>176.2895000000001</v>
      </c>
    </row>
    <row r="37" spans="1:8" ht="12.75">
      <c r="A37" s="228" t="s">
        <v>230</v>
      </c>
      <c r="B37" s="231"/>
      <c r="C37" s="84">
        <v>500.44599999999997</v>
      </c>
      <c r="D37" s="84">
        <f>+D10</f>
        <v>638.87114</v>
      </c>
      <c r="E37" s="84">
        <f>+E10</f>
        <v>762.3909060000001</v>
      </c>
      <c r="F37" s="84">
        <f>+F10</f>
        <v>942.134922</v>
      </c>
      <c r="G37" s="84">
        <f>+G10</f>
        <v>1120.6881139999998</v>
      </c>
      <c r="H37" s="84">
        <f>+H10</f>
        <v>1274.474768</v>
      </c>
    </row>
    <row r="38" spans="1:8" ht="12.75">
      <c r="A38" s="228" t="s">
        <v>231</v>
      </c>
      <c r="B38" s="231"/>
      <c r="C38" s="84">
        <v>0</v>
      </c>
      <c r="D38" s="84">
        <v>0</v>
      </c>
      <c r="E38" s="84">
        <v>0</v>
      </c>
      <c r="F38" s="84">
        <v>0</v>
      </c>
      <c r="G38" s="84">
        <v>0</v>
      </c>
      <c r="H38" s="84">
        <v>0</v>
      </c>
    </row>
    <row r="39" spans="1:8" ht="12.75">
      <c r="A39" s="230" t="s">
        <v>232</v>
      </c>
      <c r="B39" s="233"/>
      <c r="C39" s="289">
        <v>230.91399999999993</v>
      </c>
      <c r="D39" s="289">
        <f>+D33+D34-D35+D36-D37-D38</f>
        <v>82.86885999999993</v>
      </c>
      <c r="E39" s="289">
        <f>+E33+E34-E35+E36-E37-E38</f>
        <v>1184.449094</v>
      </c>
      <c r="F39" s="289">
        <f>+F33+F34-F35+F36-F37-F38</f>
        <v>963.7250779999997</v>
      </c>
      <c r="G39" s="289">
        <f>+G33+G34-G35+G36-G37-G38</f>
        <v>673.9018860000001</v>
      </c>
      <c r="H39" s="289">
        <f>+H33+H34-H35+H36-H37-H38</f>
        <v>23.89473199999975</v>
      </c>
    </row>
    <row r="40" spans="1:8" ht="12.75">
      <c r="A40" s="228"/>
      <c r="B40" s="231"/>
      <c r="C40" s="285"/>
      <c r="D40" s="285"/>
      <c r="E40" s="285"/>
      <c r="F40" s="285"/>
      <c r="G40" s="285"/>
      <c r="H40" s="285"/>
    </row>
    <row r="41" spans="1:8" ht="12.75">
      <c r="A41" s="230" t="s">
        <v>233</v>
      </c>
      <c r="B41" s="233"/>
      <c r="C41" s="290"/>
      <c r="D41" s="290"/>
      <c r="E41" s="290"/>
      <c r="F41" s="290"/>
      <c r="G41" s="290"/>
      <c r="H41" s="290"/>
    </row>
    <row r="42" spans="1:8" ht="12.75">
      <c r="A42" s="228" t="s">
        <v>234</v>
      </c>
      <c r="B42" s="231"/>
      <c r="C42" s="84">
        <v>230.84</v>
      </c>
      <c r="D42" s="84">
        <f>+C43</f>
        <v>77.39943917939581</v>
      </c>
      <c r="E42" s="84">
        <f>+D43</f>
        <v>82.40347417886301</v>
      </c>
      <c r="F42" s="84">
        <f>+E43</f>
        <v>87.3986604556344</v>
      </c>
      <c r="G42" s="84">
        <f>+F43</f>
        <v>72.39620806179391</v>
      </c>
      <c r="H42" s="84">
        <f>+G43</f>
        <v>87.39543691352219</v>
      </c>
    </row>
    <row r="43" spans="1:8" ht="12.75">
      <c r="A43" s="228" t="s">
        <v>235</v>
      </c>
      <c r="B43" s="231"/>
      <c r="C43" s="84">
        <v>77.39943917939581</v>
      </c>
      <c r="D43" s="84">
        <f>+D42+D20+D39-D30</f>
        <v>82.40347417886301</v>
      </c>
      <c r="E43" s="84">
        <f>+E42+E20+E39-E30</f>
        <v>87.3986604556344</v>
      </c>
      <c r="F43" s="84">
        <f>+F42+F20+F39-F30</f>
        <v>72.39620806179391</v>
      </c>
      <c r="G43" s="84">
        <f>+G42+G20+G39-G30</f>
        <v>87.39543691352219</v>
      </c>
      <c r="H43" s="84">
        <f>+H42+H20+H39-H30</f>
        <v>87.39566475163929</v>
      </c>
    </row>
    <row r="44" ht="12.75">
      <c r="C44" s="236"/>
    </row>
    <row r="46" spans="3:8" ht="12.75">
      <c r="C46" s="236"/>
      <c r="D46" s="236"/>
      <c r="E46" s="236"/>
      <c r="F46" s="236"/>
      <c r="G46" s="236"/>
      <c r="H46" s="236"/>
    </row>
    <row r="47" spans="3:8" ht="12.75">
      <c r="C47" s="236"/>
      <c r="D47" s="236"/>
      <c r="E47" s="236"/>
      <c r="F47" s="236"/>
      <c r="G47" s="236"/>
      <c r="H47" s="236"/>
    </row>
    <row r="48" spans="3:8" ht="12.75">
      <c r="C48" s="236"/>
      <c r="D48" s="236"/>
      <c r="E48" s="236"/>
      <c r="F48" s="236"/>
      <c r="G48" s="236"/>
      <c r="H48" s="236"/>
    </row>
    <row r="50" spans="3:8" ht="12.75">
      <c r="C50" s="236"/>
      <c r="D50" s="236"/>
      <c r="E50" s="236"/>
      <c r="F50" s="236"/>
      <c r="G50" s="236"/>
      <c r="H50" s="236"/>
    </row>
    <row r="51" spans="3:8" ht="12.75">
      <c r="C51" s="236"/>
      <c r="D51" s="236"/>
      <c r="E51" s="236"/>
      <c r="F51" s="236"/>
      <c r="G51" s="236"/>
      <c r="H51" s="236"/>
    </row>
    <row r="52" ht="12.75">
      <c r="C52" s="236"/>
    </row>
    <row r="53" ht="12.75">
      <c r="C53" s="236"/>
    </row>
  </sheetData>
  <sheetProtection/>
  <dataValidations count="2">
    <dataValidation type="decimal" allowBlank="1" showInputMessage="1" showErrorMessage="1" error="Enter in number format only" sqref="B5">
      <formula1>-1000000000000000</formula1>
      <formula2>100000000000000000</formula2>
    </dataValidation>
    <dataValidation type="decimal" allowBlank="1" showInputMessage="1" showErrorMessage="1" sqref="C39:H39 C30:H30 C20:H20">
      <formula1>-100000000000000</formula1>
      <formula2>1000000000000000</formula2>
    </dataValidation>
  </dataValidations>
  <printOptions/>
  <pageMargins left="0.7480314960629921" right="0.7480314960629921" top="0.984251968503937" bottom="0.984251968503937" header="0.5118110236220472" footer="0.5118110236220472"/>
  <pageSetup horizontalDpi="600" verticalDpi="600" orientation="landscape" paperSize="9" scale="73" r:id="rId1"/>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J195"/>
  <sheetViews>
    <sheetView zoomScalePageLayoutView="0" workbookViewId="0" topLeftCell="A187">
      <selection activeCell="D194" sqref="D194"/>
    </sheetView>
  </sheetViews>
  <sheetFormatPr defaultColWidth="9.140625" defaultRowHeight="12.75"/>
  <cols>
    <col min="1" max="1" width="34.421875" style="0" bestFit="1" customWidth="1"/>
    <col min="2" max="2" width="6.7109375" style="0" bestFit="1" customWidth="1"/>
    <col min="3" max="3" width="11.00390625" style="0" customWidth="1"/>
    <col min="4" max="4" width="10.8515625" style="0" customWidth="1"/>
    <col min="5" max="5" width="12.421875" style="0" customWidth="1"/>
    <col min="6" max="6" width="11.7109375" style="0" customWidth="1"/>
    <col min="10" max="10" width="10.57421875" style="0" bestFit="1" customWidth="1"/>
  </cols>
  <sheetData>
    <row r="1" ht="12.75">
      <c r="A1" s="23" t="s">
        <v>79</v>
      </c>
    </row>
    <row r="2" ht="12.75">
      <c r="A2" s="10"/>
    </row>
    <row r="3" ht="12.75">
      <c r="A3" s="10"/>
    </row>
    <row r="4" spans="1:7" ht="12.75">
      <c r="A4" s="156" t="s">
        <v>645</v>
      </c>
      <c r="C4" s="20"/>
      <c r="D4" s="20"/>
      <c r="F4" t="s">
        <v>375</v>
      </c>
      <c r="G4" s="20"/>
    </row>
    <row r="5" spans="1:7" ht="12.75">
      <c r="A5" s="423" t="s">
        <v>80</v>
      </c>
      <c r="B5" s="422" t="s">
        <v>13</v>
      </c>
      <c r="C5" s="422" t="s">
        <v>103</v>
      </c>
      <c r="D5" s="422" t="s">
        <v>104</v>
      </c>
      <c r="E5" s="422" t="s">
        <v>105</v>
      </c>
      <c r="F5" s="422" t="s">
        <v>106</v>
      </c>
      <c r="G5" s="422" t="s">
        <v>107</v>
      </c>
    </row>
    <row r="6" spans="1:7" ht="38.25" customHeight="1">
      <c r="A6" s="423"/>
      <c r="B6" s="422"/>
      <c r="C6" s="422"/>
      <c r="D6" s="422"/>
      <c r="E6" s="422"/>
      <c r="F6" s="422"/>
      <c r="G6" s="422"/>
    </row>
    <row r="7" spans="1:7" ht="12.75">
      <c r="A7" s="24" t="s">
        <v>81</v>
      </c>
      <c r="B7" s="7"/>
      <c r="C7" s="13">
        <v>48.78</v>
      </c>
      <c r="D7" s="13">
        <v>3.34</v>
      </c>
      <c r="E7" s="13"/>
      <c r="F7" s="13">
        <v>52.120000000000005</v>
      </c>
      <c r="G7" s="13"/>
    </row>
    <row r="8" spans="1:7" ht="12.75">
      <c r="A8" s="24" t="s">
        <v>82</v>
      </c>
      <c r="B8" s="7"/>
      <c r="C8" s="13">
        <v>102.36000000000001</v>
      </c>
      <c r="D8" s="13">
        <v>22.24</v>
      </c>
      <c r="E8" s="13"/>
      <c r="F8" s="13">
        <v>124.60000000000001</v>
      </c>
      <c r="G8" s="13"/>
    </row>
    <row r="9" spans="1:7" ht="12.75">
      <c r="A9" s="22" t="s">
        <v>83</v>
      </c>
      <c r="B9" s="7"/>
      <c r="C9" s="13">
        <v>18.18</v>
      </c>
      <c r="D9" s="13"/>
      <c r="E9" s="13"/>
      <c r="F9" s="13">
        <v>18.18</v>
      </c>
      <c r="G9" s="13"/>
    </row>
    <row r="10" spans="1:7" ht="12.75">
      <c r="A10" s="22" t="s">
        <v>84</v>
      </c>
      <c r="B10" s="7"/>
      <c r="C10" s="13">
        <v>0</v>
      </c>
      <c r="D10" s="13"/>
      <c r="E10" s="13"/>
      <c r="F10" s="13">
        <v>0</v>
      </c>
      <c r="G10" s="13"/>
    </row>
    <row r="11" spans="1:7" ht="12.75">
      <c r="A11" s="22" t="s">
        <v>85</v>
      </c>
      <c r="B11" s="7"/>
      <c r="C11" s="13">
        <v>61.86999999999999</v>
      </c>
      <c r="D11" s="13">
        <v>1.67</v>
      </c>
      <c r="E11" s="13"/>
      <c r="F11" s="13">
        <v>63.53999999999999</v>
      </c>
      <c r="G11" s="13"/>
    </row>
    <row r="12" spans="1:7" ht="12.75">
      <c r="A12" s="19" t="s">
        <v>86</v>
      </c>
      <c r="B12" s="13"/>
      <c r="C12" s="13">
        <v>4122.469999999999</v>
      </c>
      <c r="D12" s="13">
        <v>589.39</v>
      </c>
      <c r="E12" s="13">
        <v>0</v>
      </c>
      <c r="F12" s="13">
        <v>4711.86</v>
      </c>
      <c r="G12" s="13">
        <v>0</v>
      </c>
    </row>
    <row r="13" spans="1:7" ht="12.75">
      <c r="A13" s="25" t="s">
        <v>87</v>
      </c>
      <c r="B13" s="7"/>
      <c r="C13" s="13">
        <v>0</v>
      </c>
      <c r="D13" s="13"/>
      <c r="E13" s="13"/>
      <c r="F13" s="13">
        <v>0</v>
      </c>
      <c r="G13" s="13"/>
    </row>
    <row r="14" spans="1:7" ht="12.75">
      <c r="A14" s="25" t="s">
        <v>88</v>
      </c>
      <c r="B14" s="7"/>
      <c r="C14" s="13">
        <v>0</v>
      </c>
      <c r="D14" s="13"/>
      <c r="E14" s="13"/>
      <c r="F14" s="13">
        <v>0</v>
      </c>
      <c r="G14" s="13"/>
    </row>
    <row r="15" spans="1:7" ht="12.75">
      <c r="A15" s="25" t="s">
        <v>89</v>
      </c>
      <c r="B15" s="7"/>
      <c r="C15" s="13">
        <v>0</v>
      </c>
      <c r="D15" s="13"/>
      <c r="E15" s="13"/>
      <c r="F15" s="13">
        <v>0</v>
      </c>
      <c r="G15" s="13"/>
    </row>
    <row r="16" spans="1:7" ht="12.75">
      <c r="A16" s="25"/>
      <c r="B16" s="7"/>
      <c r="C16" s="13">
        <v>0</v>
      </c>
      <c r="D16" s="13"/>
      <c r="E16" s="13"/>
      <c r="F16" s="13">
        <v>0</v>
      </c>
      <c r="G16" s="13"/>
    </row>
    <row r="17" spans="1:7" ht="12.75">
      <c r="A17" s="25" t="s">
        <v>90</v>
      </c>
      <c r="B17" s="7"/>
      <c r="C17" s="13">
        <v>0</v>
      </c>
      <c r="D17" s="13"/>
      <c r="E17" s="13"/>
      <c r="F17" s="13">
        <v>0</v>
      </c>
      <c r="G17" s="13"/>
    </row>
    <row r="18" spans="1:7" ht="12.75">
      <c r="A18" s="25" t="s">
        <v>91</v>
      </c>
      <c r="B18" s="7"/>
      <c r="C18" s="13">
        <v>0</v>
      </c>
      <c r="D18" s="13"/>
      <c r="E18" s="13"/>
      <c r="F18" s="13">
        <v>0</v>
      </c>
      <c r="G18" s="13"/>
    </row>
    <row r="19" spans="1:7" ht="12.75">
      <c r="A19" s="25" t="s">
        <v>92</v>
      </c>
      <c r="B19" s="7"/>
      <c r="C19" s="13">
        <v>0</v>
      </c>
      <c r="D19" s="13"/>
      <c r="E19" s="13"/>
      <c r="F19" s="13">
        <v>0</v>
      </c>
      <c r="G19" s="13"/>
    </row>
    <row r="20" spans="1:7" ht="12.75">
      <c r="A20" s="25" t="s">
        <v>69</v>
      </c>
      <c r="B20" s="7"/>
      <c r="C20" s="13">
        <v>0</v>
      </c>
      <c r="D20" s="13"/>
      <c r="E20" s="13"/>
      <c r="F20" s="13">
        <v>0</v>
      </c>
      <c r="G20" s="13"/>
    </row>
    <row r="21" spans="1:7" ht="12.75">
      <c r="A21" s="19" t="s">
        <v>93</v>
      </c>
      <c r="B21" s="13"/>
      <c r="C21" s="13">
        <v>6146.71</v>
      </c>
      <c r="D21" s="13">
        <v>489.31</v>
      </c>
      <c r="E21" s="13">
        <v>0</v>
      </c>
      <c r="F21" s="13">
        <v>6636.02</v>
      </c>
      <c r="G21" s="13">
        <v>0</v>
      </c>
    </row>
    <row r="22" spans="1:7" ht="12.75">
      <c r="A22" s="18" t="s">
        <v>94</v>
      </c>
      <c r="B22" s="7"/>
      <c r="C22" s="13">
        <v>0</v>
      </c>
      <c r="D22" s="13"/>
      <c r="E22" s="13"/>
      <c r="F22" s="13">
        <v>0</v>
      </c>
      <c r="G22" s="13"/>
    </row>
    <row r="23" spans="1:7" ht="12.75">
      <c r="A23" s="18" t="s">
        <v>95</v>
      </c>
      <c r="B23" s="7"/>
      <c r="C23" s="13">
        <v>0</v>
      </c>
      <c r="D23" s="13"/>
      <c r="E23" s="13"/>
      <c r="F23" s="13">
        <v>0</v>
      </c>
      <c r="G23" s="13"/>
    </row>
    <row r="24" spans="1:7" ht="12.75">
      <c r="A24" s="25" t="s">
        <v>96</v>
      </c>
      <c r="B24" s="7"/>
      <c r="C24" s="13">
        <v>0</v>
      </c>
      <c r="D24" s="13"/>
      <c r="E24" s="13"/>
      <c r="F24" s="13">
        <v>0</v>
      </c>
      <c r="G24" s="13"/>
    </row>
    <row r="25" spans="1:7" ht="12.75">
      <c r="A25" s="25" t="s">
        <v>69</v>
      </c>
      <c r="B25" s="7"/>
      <c r="C25" s="13">
        <v>0</v>
      </c>
      <c r="D25" s="13"/>
      <c r="E25" s="13"/>
      <c r="F25" s="13">
        <v>0</v>
      </c>
      <c r="G25" s="13"/>
    </row>
    <row r="26" spans="1:7" ht="12.75">
      <c r="A26" s="26" t="s">
        <v>97</v>
      </c>
      <c r="B26" s="7"/>
      <c r="C26" s="13">
        <v>2.83</v>
      </c>
      <c r="D26" s="13"/>
      <c r="E26" s="13"/>
      <c r="F26" s="13">
        <v>2.83</v>
      </c>
      <c r="G26" s="13"/>
    </row>
    <row r="27" spans="1:7" ht="12.75">
      <c r="A27" s="26" t="s">
        <v>98</v>
      </c>
      <c r="B27" s="7"/>
      <c r="C27" s="13">
        <v>3.98</v>
      </c>
      <c r="D27" s="13">
        <v>0.56</v>
      </c>
      <c r="E27" s="13"/>
      <c r="F27" s="13">
        <v>4.54</v>
      </c>
      <c r="G27" s="13"/>
    </row>
    <row r="28" spans="1:7" ht="12.75">
      <c r="A28" s="26" t="s">
        <v>99</v>
      </c>
      <c r="B28" s="7"/>
      <c r="C28" s="13">
        <v>44.86</v>
      </c>
      <c r="D28" s="13">
        <v>5.56</v>
      </c>
      <c r="E28" s="13"/>
      <c r="F28" s="13">
        <v>50.42</v>
      </c>
      <c r="G28" s="13"/>
    </row>
    <row r="29" spans="1:7" ht="12.75">
      <c r="A29" s="26" t="s">
        <v>100</v>
      </c>
      <c r="B29" s="7"/>
      <c r="C29" s="13">
        <v>0</v>
      </c>
      <c r="D29" s="13"/>
      <c r="E29" s="13"/>
      <c r="F29" s="13">
        <v>0</v>
      </c>
      <c r="G29" s="13"/>
    </row>
    <row r="30" spans="1:7" ht="12.75">
      <c r="A30" s="26" t="s">
        <v>69</v>
      </c>
      <c r="B30" s="7"/>
      <c r="C30" s="13">
        <v>0</v>
      </c>
      <c r="D30" s="13"/>
      <c r="E30" s="13"/>
      <c r="F30" s="13">
        <v>0</v>
      </c>
      <c r="G30" s="13"/>
    </row>
    <row r="31" spans="1:7" ht="12.75">
      <c r="A31" s="26" t="s">
        <v>101</v>
      </c>
      <c r="B31" s="7"/>
      <c r="C31" s="13">
        <v>0</v>
      </c>
      <c r="D31" s="13"/>
      <c r="E31" s="13"/>
      <c r="F31" s="13">
        <v>0</v>
      </c>
      <c r="G31" s="13"/>
    </row>
    <row r="32" spans="1:7" ht="20.25" customHeight="1">
      <c r="A32" s="261" t="s">
        <v>102</v>
      </c>
      <c r="B32" s="261"/>
      <c r="C32" s="262">
        <v>10552.039999999999</v>
      </c>
      <c r="D32" s="262">
        <v>1112.07</v>
      </c>
      <c r="E32" s="262">
        <v>0</v>
      </c>
      <c r="F32" s="262">
        <v>11664.11</v>
      </c>
      <c r="G32" s="263">
        <v>0</v>
      </c>
    </row>
    <row r="33" spans="3:7" ht="12.75">
      <c r="C33" s="20"/>
      <c r="D33" s="20"/>
      <c r="E33" s="20"/>
      <c r="F33" s="20"/>
      <c r="G33" s="20"/>
    </row>
    <row r="34" spans="3:7" ht="12.75">
      <c r="C34" s="20">
        <v>10552.039999999999</v>
      </c>
      <c r="D34" s="20">
        <v>1543.1738674813562</v>
      </c>
      <c r="E34" s="20"/>
      <c r="F34" s="20">
        <v>12095.213867481356</v>
      </c>
      <c r="G34" s="20"/>
    </row>
    <row r="35" spans="3:7" ht="12.75">
      <c r="C35" s="20"/>
      <c r="D35" s="20"/>
      <c r="E35" s="20"/>
      <c r="F35" s="20"/>
      <c r="G35" s="20"/>
    </row>
    <row r="36" spans="1:7" ht="12.75">
      <c r="A36" s="156" t="s">
        <v>476</v>
      </c>
      <c r="C36" s="20"/>
      <c r="D36" s="20"/>
      <c r="E36" t="s">
        <v>375</v>
      </c>
      <c r="F36" s="20"/>
      <c r="G36" s="20"/>
    </row>
    <row r="37" spans="1:7" ht="12.75">
      <c r="A37" s="423" t="s">
        <v>80</v>
      </c>
      <c r="B37" s="422" t="s">
        <v>13</v>
      </c>
      <c r="C37" s="422" t="s">
        <v>103</v>
      </c>
      <c r="D37" s="422" t="s">
        <v>104</v>
      </c>
      <c r="E37" s="422" t="s">
        <v>105</v>
      </c>
      <c r="F37" s="422" t="s">
        <v>106</v>
      </c>
      <c r="G37" s="422" t="s">
        <v>107</v>
      </c>
    </row>
    <row r="38" spans="1:7" ht="38.25" customHeight="1">
      <c r="A38" s="423"/>
      <c r="B38" s="422"/>
      <c r="C38" s="422"/>
      <c r="D38" s="422"/>
      <c r="E38" s="422"/>
      <c r="F38" s="422"/>
      <c r="G38" s="422"/>
    </row>
    <row r="39" spans="1:7" ht="12.75">
      <c r="A39" s="24" t="s">
        <v>81</v>
      </c>
      <c r="B39" s="7"/>
      <c r="C39" s="13">
        <f aca="true" t="shared" si="0" ref="C39:C63">+F7</f>
        <v>52.120000000000005</v>
      </c>
      <c r="D39" s="13">
        <v>4.27</v>
      </c>
      <c r="E39" s="13"/>
      <c r="F39" s="13">
        <f>+C39+D39+E39</f>
        <v>56.39</v>
      </c>
      <c r="G39" s="13"/>
    </row>
    <row r="40" spans="1:7" ht="12.75">
      <c r="A40" s="24" t="s">
        <v>82</v>
      </c>
      <c r="B40" s="7"/>
      <c r="C40" s="13">
        <f t="shared" si="0"/>
        <v>124.60000000000001</v>
      </c>
      <c r="D40" s="13">
        <v>28.48</v>
      </c>
      <c r="E40" s="13"/>
      <c r="F40" s="13">
        <f aca="true" t="shared" si="1" ref="F40:F63">+C40+D40+E40</f>
        <v>153.08</v>
      </c>
      <c r="G40" s="13"/>
    </row>
    <row r="41" spans="1:7" ht="12.75">
      <c r="A41" s="22" t="s">
        <v>83</v>
      </c>
      <c r="B41" s="7"/>
      <c r="C41" s="13">
        <f t="shared" si="0"/>
        <v>18.18</v>
      </c>
      <c r="D41" s="13"/>
      <c r="E41" s="13"/>
      <c r="F41" s="13">
        <f t="shared" si="1"/>
        <v>18.18</v>
      </c>
      <c r="G41" s="13"/>
    </row>
    <row r="42" spans="1:7" ht="12.75">
      <c r="A42" s="22" t="s">
        <v>84</v>
      </c>
      <c r="B42" s="7"/>
      <c r="C42" s="13">
        <f t="shared" si="0"/>
        <v>0</v>
      </c>
      <c r="D42" s="13"/>
      <c r="E42" s="13"/>
      <c r="F42" s="13">
        <f t="shared" si="1"/>
        <v>0</v>
      </c>
      <c r="G42" s="13"/>
    </row>
    <row r="43" spans="1:7" ht="12.75">
      <c r="A43" s="22" t="s">
        <v>85</v>
      </c>
      <c r="B43" s="7"/>
      <c r="C43" s="13">
        <f t="shared" si="0"/>
        <v>63.53999999999999</v>
      </c>
      <c r="D43" s="13">
        <v>2.14</v>
      </c>
      <c r="E43" s="13"/>
      <c r="F43" s="13">
        <f t="shared" si="1"/>
        <v>65.67999999999999</v>
      </c>
      <c r="G43" s="13"/>
    </row>
    <row r="44" spans="1:7" ht="12.75">
      <c r="A44" s="19" t="s">
        <v>86</v>
      </c>
      <c r="B44" s="13"/>
      <c r="C44" s="13">
        <f t="shared" si="0"/>
        <v>4711.86</v>
      </c>
      <c r="D44" s="13">
        <v>754.79</v>
      </c>
      <c r="E44" s="13">
        <f>+E45+E46+E47</f>
        <v>0</v>
      </c>
      <c r="F44" s="13">
        <f t="shared" si="1"/>
        <v>5466.65</v>
      </c>
      <c r="G44" s="13">
        <f>+G45+G46+G47</f>
        <v>0</v>
      </c>
    </row>
    <row r="45" spans="1:7" ht="12.75">
      <c r="A45" s="25" t="s">
        <v>87</v>
      </c>
      <c r="B45" s="7"/>
      <c r="C45" s="13">
        <f t="shared" si="0"/>
        <v>0</v>
      </c>
      <c r="D45" s="13"/>
      <c r="E45" s="13"/>
      <c r="F45" s="13">
        <f t="shared" si="1"/>
        <v>0</v>
      </c>
      <c r="G45" s="13"/>
    </row>
    <row r="46" spans="1:7" ht="12.75">
      <c r="A46" s="25" t="s">
        <v>88</v>
      </c>
      <c r="B46" s="7"/>
      <c r="C46" s="13">
        <f t="shared" si="0"/>
        <v>0</v>
      </c>
      <c r="D46" s="13"/>
      <c r="E46" s="13"/>
      <c r="F46" s="13">
        <f t="shared" si="1"/>
        <v>0</v>
      </c>
      <c r="G46" s="13"/>
    </row>
    <row r="47" spans="1:7" ht="12.75">
      <c r="A47" s="25" t="s">
        <v>89</v>
      </c>
      <c r="B47" s="7"/>
      <c r="C47" s="13">
        <f t="shared" si="0"/>
        <v>0</v>
      </c>
      <c r="D47" s="13"/>
      <c r="E47" s="13"/>
      <c r="F47" s="13">
        <f t="shared" si="1"/>
        <v>0</v>
      </c>
      <c r="G47" s="13"/>
    </row>
    <row r="48" spans="1:7" ht="12.75">
      <c r="A48" s="25"/>
      <c r="B48" s="7"/>
      <c r="C48" s="13">
        <f t="shared" si="0"/>
        <v>0</v>
      </c>
      <c r="D48" s="13"/>
      <c r="E48" s="13"/>
      <c r="F48" s="13">
        <f t="shared" si="1"/>
        <v>0</v>
      </c>
      <c r="G48" s="13"/>
    </row>
    <row r="49" spans="1:7" ht="12.75">
      <c r="A49" s="25" t="s">
        <v>90</v>
      </c>
      <c r="B49" s="7"/>
      <c r="C49" s="13">
        <f t="shared" si="0"/>
        <v>0</v>
      </c>
      <c r="D49" s="13"/>
      <c r="E49" s="13"/>
      <c r="F49" s="13">
        <f t="shared" si="1"/>
        <v>0</v>
      </c>
      <c r="G49" s="13"/>
    </row>
    <row r="50" spans="1:7" ht="12.75">
      <c r="A50" s="25" t="s">
        <v>91</v>
      </c>
      <c r="B50" s="7"/>
      <c r="C50" s="13">
        <f t="shared" si="0"/>
        <v>0</v>
      </c>
      <c r="D50" s="13"/>
      <c r="E50" s="13"/>
      <c r="F50" s="13">
        <f t="shared" si="1"/>
        <v>0</v>
      </c>
      <c r="G50" s="13"/>
    </row>
    <row r="51" spans="1:7" ht="12.75">
      <c r="A51" s="25" t="s">
        <v>92</v>
      </c>
      <c r="B51" s="7"/>
      <c r="C51" s="13">
        <f t="shared" si="0"/>
        <v>0</v>
      </c>
      <c r="D51" s="13"/>
      <c r="E51" s="13"/>
      <c r="F51" s="13">
        <f t="shared" si="1"/>
        <v>0</v>
      </c>
      <c r="G51" s="13"/>
    </row>
    <row r="52" spans="1:7" ht="12.75">
      <c r="A52" s="25" t="s">
        <v>69</v>
      </c>
      <c r="B52" s="7"/>
      <c r="C52" s="13">
        <f t="shared" si="0"/>
        <v>0</v>
      </c>
      <c r="D52" s="13"/>
      <c r="E52" s="13"/>
      <c r="F52" s="13">
        <f t="shared" si="1"/>
        <v>0</v>
      </c>
      <c r="G52" s="13"/>
    </row>
    <row r="53" spans="1:7" ht="12.75">
      <c r="A53" s="19" t="s">
        <v>93</v>
      </c>
      <c r="B53" s="13"/>
      <c r="C53" s="13">
        <f t="shared" si="0"/>
        <v>6636.02</v>
      </c>
      <c r="D53" s="13">
        <v>626.61</v>
      </c>
      <c r="E53" s="13">
        <f>+E54+E55+E56</f>
        <v>0</v>
      </c>
      <c r="F53" s="13">
        <f t="shared" si="1"/>
        <v>7262.63</v>
      </c>
      <c r="G53" s="13">
        <f>+G54+G55+G56</f>
        <v>0</v>
      </c>
    </row>
    <row r="54" spans="1:7" ht="12.75">
      <c r="A54" s="18" t="s">
        <v>94</v>
      </c>
      <c r="B54" s="7"/>
      <c r="C54" s="13">
        <f t="shared" si="0"/>
        <v>0</v>
      </c>
      <c r="D54" s="13"/>
      <c r="E54" s="13"/>
      <c r="F54" s="13">
        <f t="shared" si="1"/>
        <v>0</v>
      </c>
      <c r="G54" s="13"/>
    </row>
    <row r="55" spans="1:7" ht="12.75">
      <c r="A55" s="18" t="s">
        <v>95</v>
      </c>
      <c r="B55" s="7"/>
      <c r="C55" s="13">
        <f t="shared" si="0"/>
        <v>0</v>
      </c>
      <c r="D55" s="13"/>
      <c r="E55" s="13"/>
      <c r="F55" s="13">
        <f t="shared" si="1"/>
        <v>0</v>
      </c>
      <c r="G55" s="13"/>
    </row>
    <row r="56" spans="1:7" ht="12.75">
      <c r="A56" s="25" t="s">
        <v>96</v>
      </c>
      <c r="B56" s="7"/>
      <c r="C56" s="13">
        <f t="shared" si="0"/>
        <v>0</v>
      </c>
      <c r="D56" s="13"/>
      <c r="E56" s="13"/>
      <c r="F56" s="13">
        <f t="shared" si="1"/>
        <v>0</v>
      </c>
      <c r="G56" s="13"/>
    </row>
    <row r="57" spans="1:7" ht="12.75">
      <c r="A57" s="25" t="s">
        <v>69</v>
      </c>
      <c r="B57" s="7"/>
      <c r="C57" s="13">
        <f t="shared" si="0"/>
        <v>0</v>
      </c>
      <c r="D57" s="13"/>
      <c r="E57" s="13"/>
      <c r="F57" s="13">
        <f t="shared" si="1"/>
        <v>0</v>
      </c>
      <c r="G57" s="13"/>
    </row>
    <row r="58" spans="1:7" ht="12.75">
      <c r="A58" s="26" t="s">
        <v>97</v>
      </c>
      <c r="B58" s="7"/>
      <c r="C58" s="13">
        <f t="shared" si="0"/>
        <v>2.83</v>
      </c>
      <c r="D58" s="13"/>
      <c r="E58" s="13"/>
      <c r="F58" s="13">
        <f t="shared" si="1"/>
        <v>2.83</v>
      </c>
      <c r="G58" s="13"/>
    </row>
    <row r="59" spans="1:7" ht="12.75">
      <c r="A59" s="26" t="s">
        <v>98</v>
      </c>
      <c r="B59" s="7"/>
      <c r="C59" s="13">
        <f t="shared" si="0"/>
        <v>4.54</v>
      </c>
      <c r="D59" s="13">
        <v>0.71</v>
      </c>
      <c r="E59" s="13"/>
      <c r="F59" s="13">
        <f t="shared" si="1"/>
        <v>5.25</v>
      </c>
      <c r="G59" s="13"/>
    </row>
    <row r="60" spans="1:7" ht="12.75">
      <c r="A60" s="26" t="s">
        <v>99</v>
      </c>
      <c r="B60" s="7"/>
      <c r="C60" s="13">
        <f t="shared" si="0"/>
        <v>50.42</v>
      </c>
      <c r="D60" s="13">
        <v>7.12</v>
      </c>
      <c r="E60" s="13"/>
      <c r="F60" s="13">
        <f t="shared" si="1"/>
        <v>57.54</v>
      </c>
      <c r="G60" s="13"/>
    </row>
    <row r="61" spans="1:7" ht="12.75">
      <c r="A61" s="26" t="s">
        <v>100</v>
      </c>
      <c r="B61" s="7"/>
      <c r="C61" s="13">
        <f t="shared" si="0"/>
        <v>0</v>
      </c>
      <c r="D61" s="13"/>
      <c r="E61" s="13"/>
      <c r="F61" s="13">
        <f t="shared" si="1"/>
        <v>0</v>
      </c>
      <c r="G61" s="13"/>
    </row>
    <row r="62" spans="1:7" ht="12.75">
      <c r="A62" s="26" t="s">
        <v>69</v>
      </c>
      <c r="B62" s="7"/>
      <c r="C62" s="13">
        <f t="shared" si="0"/>
        <v>0</v>
      </c>
      <c r="D62" s="13"/>
      <c r="E62" s="13"/>
      <c r="F62" s="13">
        <f t="shared" si="1"/>
        <v>0</v>
      </c>
      <c r="G62" s="13"/>
    </row>
    <row r="63" spans="1:7" ht="12.75">
      <c r="A63" s="26" t="s">
        <v>101</v>
      </c>
      <c r="B63" s="7"/>
      <c r="C63" s="13">
        <f t="shared" si="0"/>
        <v>0</v>
      </c>
      <c r="D63" s="13"/>
      <c r="E63" s="13"/>
      <c r="F63" s="13">
        <f t="shared" si="1"/>
        <v>0</v>
      </c>
      <c r="G63" s="13"/>
    </row>
    <row r="64" spans="1:7" ht="20.25" customHeight="1">
      <c r="A64" s="261" t="s">
        <v>102</v>
      </c>
      <c r="B64" s="261"/>
      <c r="C64" s="262">
        <f>+C39+C40+C41+C42+C43+C44+C49+C50+C51+C52+C53+C58+C59+C60+C61+C62+C63</f>
        <v>11664.11</v>
      </c>
      <c r="D64" s="262">
        <f>SUM(D39:D63)</f>
        <v>1424.12</v>
      </c>
      <c r="E64" s="262">
        <f>+E39+E40+E41+E42+E43+E44+E49+E50+E51+E52+E53+E58+E59+E60+E61+E62+E63</f>
        <v>0</v>
      </c>
      <c r="F64" s="262">
        <f>+F39+F40+F41+F42+F43+F44+F49+F50+F51+F52+F53+F58+F59+F60+F61+F62+F63</f>
        <v>13088.230000000001</v>
      </c>
      <c r="G64" s="263">
        <f>+G39+G40+G41+G42+G43+G44+G49+G50+G51+G52+G53+G58+G59+G60+G61+G62+G63</f>
        <v>0</v>
      </c>
    </row>
    <row r="65" spans="3:7" ht="19.5" customHeight="1">
      <c r="C65" s="20">
        <f>F34</f>
        <v>12095.213867481356</v>
      </c>
      <c r="D65" s="20">
        <f>'[2]Asset'!$D$95</f>
        <v>5418.501688332551</v>
      </c>
      <c r="E65" s="20"/>
      <c r="F65" s="20">
        <f>C65+D65-E65</f>
        <v>17513.715555813906</v>
      </c>
      <c r="G65" s="20"/>
    </row>
    <row r="66" spans="3:7" ht="19.5" customHeight="1">
      <c r="C66" s="20"/>
      <c r="D66" s="20"/>
      <c r="E66" s="20"/>
      <c r="F66" s="20"/>
      <c r="G66" s="20"/>
    </row>
    <row r="67" spans="3:7" ht="19.5" customHeight="1">
      <c r="C67" s="20"/>
      <c r="D67" s="20"/>
      <c r="E67" s="20"/>
      <c r="F67" s="20"/>
      <c r="G67" s="20"/>
    </row>
    <row r="68" spans="1:7" ht="19.5" customHeight="1">
      <c r="A68" s="156" t="s">
        <v>477</v>
      </c>
      <c r="C68" s="20"/>
      <c r="D68" s="20"/>
      <c r="E68" t="s">
        <v>375</v>
      </c>
      <c r="F68" s="20"/>
      <c r="G68" s="20"/>
    </row>
    <row r="69" spans="1:7" ht="12.75">
      <c r="A69" s="423" t="s">
        <v>80</v>
      </c>
      <c r="B69" s="422" t="s">
        <v>13</v>
      </c>
      <c r="C69" s="422" t="s">
        <v>103</v>
      </c>
      <c r="D69" s="422" t="s">
        <v>104</v>
      </c>
      <c r="E69" s="422" t="s">
        <v>105</v>
      </c>
      <c r="F69" s="422" t="s">
        <v>106</v>
      </c>
      <c r="G69" s="422" t="s">
        <v>107</v>
      </c>
    </row>
    <row r="70" spans="1:7" ht="38.25" customHeight="1">
      <c r="A70" s="423"/>
      <c r="B70" s="422"/>
      <c r="C70" s="422"/>
      <c r="D70" s="422"/>
      <c r="E70" s="422"/>
      <c r="F70" s="422"/>
      <c r="G70" s="422"/>
    </row>
    <row r="71" spans="1:7" ht="12.75">
      <c r="A71" s="24" t="s">
        <v>81</v>
      </c>
      <c r="B71" s="7"/>
      <c r="C71" s="13">
        <f aca="true" t="shared" si="2" ref="C71:C95">+F39</f>
        <v>56.39</v>
      </c>
      <c r="D71" s="13">
        <v>7.64</v>
      </c>
      <c r="E71" s="13"/>
      <c r="F71" s="13">
        <f>+C71+D71+E71</f>
        <v>64.03</v>
      </c>
      <c r="G71" s="13"/>
    </row>
    <row r="72" spans="1:7" ht="12.75">
      <c r="A72" s="24" t="s">
        <v>82</v>
      </c>
      <c r="B72" s="7"/>
      <c r="C72" s="13">
        <f t="shared" si="2"/>
        <v>153.08</v>
      </c>
      <c r="D72" s="13">
        <v>50.94</v>
      </c>
      <c r="E72" s="13"/>
      <c r="F72" s="13">
        <f aca="true" t="shared" si="3" ref="F72:F95">+C72+D72+E72</f>
        <v>204.02</v>
      </c>
      <c r="G72" s="13"/>
    </row>
    <row r="73" spans="1:7" ht="12.75">
      <c r="A73" s="22" t="s">
        <v>83</v>
      </c>
      <c r="B73" s="7"/>
      <c r="C73" s="13">
        <f t="shared" si="2"/>
        <v>18.18</v>
      </c>
      <c r="D73" s="13"/>
      <c r="E73" s="13"/>
      <c r="F73" s="13">
        <f t="shared" si="3"/>
        <v>18.18</v>
      </c>
      <c r="G73" s="13"/>
    </row>
    <row r="74" spans="1:7" ht="12.75">
      <c r="A74" s="22" t="s">
        <v>84</v>
      </c>
      <c r="B74" s="7"/>
      <c r="C74" s="13">
        <f t="shared" si="2"/>
        <v>0</v>
      </c>
      <c r="D74" s="13"/>
      <c r="E74" s="13"/>
      <c r="F74" s="13">
        <f t="shared" si="3"/>
        <v>0</v>
      </c>
      <c r="G74" s="13"/>
    </row>
    <row r="75" spans="1:7" ht="12.75">
      <c r="A75" s="22" t="s">
        <v>85</v>
      </c>
      <c r="B75" s="7"/>
      <c r="C75" s="13">
        <f t="shared" si="2"/>
        <v>65.67999999999999</v>
      </c>
      <c r="D75" s="13">
        <v>3.82</v>
      </c>
      <c r="E75" s="13"/>
      <c r="F75" s="13">
        <f t="shared" si="3"/>
        <v>69.49999999999999</v>
      </c>
      <c r="G75" s="13"/>
    </row>
    <row r="76" spans="1:7" ht="12.75">
      <c r="A76" s="19" t="s">
        <v>86</v>
      </c>
      <c r="B76" s="13"/>
      <c r="C76" s="13">
        <f t="shared" si="2"/>
        <v>5466.65</v>
      </c>
      <c r="D76" s="13">
        <v>1350.02</v>
      </c>
      <c r="E76" s="13">
        <f>+E77+E78+E79</f>
        <v>0</v>
      </c>
      <c r="F76" s="13">
        <f t="shared" si="3"/>
        <v>6816.67</v>
      </c>
      <c r="G76" s="13">
        <f>+G77+G78+G79</f>
        <v>0</v>
      </c>
    </row>
    <row r="77" spans="1:7" ht="12.75">
      <c r="A77" s="25" t="s">
        <v>87</v>
      </c>
      <c r="B77" s="7"/>
      <c r="C77" s="13">
        <f t="shared" si="2"/>
        <v>0</v>
      </c>
      <c r="D77" s="13"/>
      <c r="E77" s="13"/>
      <c r="F77" s="13">
        <f t="shared" si="3"/>
        <v>0</v>
      </c>
      <c r="G77" s="13"/>
    </row>
    <row r="78" spans="1:7" ht="12.75">
      <c r="A78" s="25" t="s">
        <v>88</v>
      </c>
      <c r="B78" s="7"/>
      <c r="C78" s="13">
        <f t="shared" si="2"/>
        <v>0</v>
      </c>
      <c r="D78" s="13"/>
      <c r="E78" s="13"/>
      <c r="F78" s="13">
        <f t="shared" si="3"/>
        <v>0</v>
      </c>
      <c r="G78" s="13"/>
    </row>
    <row r="79" spans="1:7" ht="12.75">
      <c r="A79" s="25" t="s">
        <v>89</v>
      </c>
      <c r="B79" s="7"/>
      <c r="C79" s="13">
        <f t="shared" si="2"/>
        <v>0</v>
      </c>
      <c r="D79" s="13"/>
      <c r="E79" s="13"/>
      <c r="F79" s="13">
        <f t="shared" si="3"/>
        <v>0</v>
      </c>
      <c r="G79" s="13"/>
    </row>
    <row r="80" spans="1:7" ht="12.75">
      <c r="A80" s="25"/>
      <c r="B80" s="7"/>
      <c r="C80" s="13">
        <f t="shared" si="2"/>
        <v>0</v>
      </c>
      <c r="D80" s="13"/>
      <c r="E80" s="13"/>
      <c r="F80" s="13">
        <f t="shared" si="3"/>
        <v>0</v>
      </c>
      <c r="G80" s="13"/>
    </row>
    <row r="81" spans="1:7" ht="12.75">
      <c r="A81" s="25" t="s">
        <v>90</v>
      </c>
      <c r="B81" s="7"/>
      <c r="C81" s="13">
        <f t="shared" si="2"/>
        <v>0</v>
      </c>
      <c r="D81" s="13"/>
      <c r="E81" s="13"/>
      <c r="F81" s="13">
        <f t="shared" si="3"/>
        <v>0</v>
      </c>
      <c r="G81" s="13"/>
    </row>
    <row r="82" spans="1:7" ht="12.75">
      <c r="A82" s="25" t="s">
        <v>91</v>
      </c>
      <c r="B82" s="7"/>
      <c r="C82" s="13">
        <f t="shared" si="2"/>
        <v>0</v>
      </c>
      <c r="D82" s="13"/>
      <c r="E82" s="13"/>
      <c r="F82" s="13">
        <f t="shared" si="3"/>
        <v>0</v>
      </c>
      <c r="G82" s="13"/>
    </row>
    <row r="83" spans="1:7" ht="12.75">
      <c r="A83" s="25" t="s">
        <v>92</v>
      </c>
      <c r="B83" s="7"/>
      <c r="C83" s="13">
        <f t="shared" si="2"/>
        <v>0</v>
      </c>
      <c r="D83" s="13"/>
      <c r="E83" s="13"/>
      <c r="F83" s="13">
        <f t="shared" si="3"/>
        <v>0</v>
      </c>
      <c r="G83" s="13"/>
    </row>
    <row r="84" spans="1:7" ht="12.75">
      <c r="A84" s="25" t="s">
        <v>69</v>
      </c>
      <c r="B84" s="7"/>
      <c r="C84" s="13">
        <f t="shared" si="2"/>
        <v>0</v>
      </c>
      <c r="D84" s="13"/>
      <c r="E84" s="13"/>
      <c r="F84" s="13">
        <f t="shared" si="3"/>
        <v>0</v>
      </c>
      <c r="G84" s="13"/>
    </row>
    <row r="85" spans="1:7" ht="12.75">
      <c r="A85" s="19" t="s">
        <v>93</v>
      </c>
      <c r="B85" s="13"/>
      <c r="C85" s="13">
        <f t="shared" si="2"/>
        <v>7262.63</v>
      </c>
      <c r="D85" s="13">
        <v>1120.77</v>
      </c>
      <c r="E85" s="13">
        <f>+E86+E87+E88</f>
        <v>0</v>
      </c>
      <c r="F85" s="13">
        <f t="shared" si="3"/>
        <v>8383.4</v>
      </c>
      <c r="G85" s="13">
        <f>+G86+G87+G88</f>
        <v>0</v>
      </c>
    </row>
    <row r="86" spans="1:7" ht="12.75">
      <c r="A86" s="18" t="s">
        <v>94</v>
      </c>
      <c r="B86" s="7"/>
      <c r="C86" s="13">
        <f t="shared" si="2"/>
        <v>0</v>
      </c>
      <c r="D86" s="13"/>
      <c r="E86" s="13"/>
      <c r="F86" s="13">
        <f t="shared" si="3"/>
        <v>0</v>
      </c>
      <c r="G86" s="13"/>
    </row>
    <row r="87" spans="1:7" ht="12.75">
      <c r="A87" s="18" t="s">
        <v>95</v>
      </c>
      <c r="B87" s="7"/>
      <c r="C87" s="13">
        <f t="shared" si="2"/>
        <v>0</v>
      </c>
      <c r="D87" s="13"/>
      <c r="E87" s="13"/>
      <c r="F87" s="13">
        <f t="shared" si="3"/>
        <v>0</v>
      </c>
      <c r="G87" s="13"/>
    </row>
    <row r="88" spans="1:7" ht="12.75">
      <c r="A88" s="25" t="s">
        <v>96</v>
      </c>
      <c r="B88" s="7"/>
      <c r="C88" s="13">
        <f t="shared" si="2"/>
        <v>0</v>
      </c>
      <c r="D88" s="13"/>
      <c r="E88" s="13"/>
      <c r="F88" s="13">
        <f t="shared" si="3"/>
        <v>0</v>
      </c>
      <c r="G88" s="13"/>
    </row>
    <row r="89" spans="1:7" ht="12.75">
      <c r="A89" s="25" t="s">
        <v>69</v>
      </c>
      <c r="B89" s="7"/>
      <c r="C89" s="13">
        <f t="shared" si="2"/>
        <v>0</v>
      </c>
      <c r="D89" s="13"/>
      <c r="E89" s="13"/>
      <c r="F89" s="13">
        <f t="shared" si="3"/>
        <v>0</v>
      </c>
      <c r="G89" s="13"/>
    </row>
    <row r="90" spans="1:7" ht="12.75">
      <c r="A90" s="26" t="s">
        <v>97</v>
      </c>
      <c r="B90" s="7"/>
      <c r="C90" s="13">
        <f t="shared" si="2"/>
        <v>2.83</v>
      </c>
      <c r="D90" s="13"/>
      <c r="E90" s="13"/>
      <c r="F90" s="13">
        <f t="shared" si="3"/>
        <v>2.83</v>
      </c>
      <c r="G90" s="13"/>
    </row>
    <row r="91" spans="1:7" ht="12.75">
      <c r="A91" s="26" t="s">
        <v>98</v>
      </c>
      <c r="B91" s="7"/>
      <c r="C91" s="13">
        <f t="shared" si="2"/>
        <v>5.25</v>
      </c>
      <c r="D91" s="13">
        <v>1.27</v>
      </c>
      <c r="E91" s="13"/>
      <c r="F91" s="13">
        <f t="shared" si="3"/>
        <v>6.52</v>
      </c>
      <c r="G91" s="13"/>
    </row>
    <row r="92" spans="1:7" ht="12.75">
      <c r="A92" s="26" t="s">
        <v>99</v>
      </c>
      <c r="B92" s="7"/>
      <c r="C92" s="13">
        <f t="shared" si="2"/>
        <v>57.54</v>
      </c>
      <c r="D92" s="13">
        <v>12.74</v>
      </c>
      <c r="E92" s="13"/>
      <c r="F92" s="13">
        <f t="shared" si="3"/>
        <v>70.28</v>
      </c>
      <c r="G92" s="13"/>
    </row>
    <row r="93" spans="1:7" ht="12.75">
      <c r="A93" s="26" t="s">
        <v>100</v>
      </c>
      <c r="B93" s="7"/>
      <c r="C93" s="13">
        <f t="shared" si="2"/>
        <v>0</v>
      </c>
      <c r="D93" s="13"/>
      <c r="E93" s="13"/>
      <c r="F93" s="13">
        <f t="shared" si="3"/>
        <v>0</v>
      </c>
      <c r="G93" s="13"/>
    </row>
    <row r="94" spans="1:7" ht="12.75">
      <c r="A94" s="26" t="s">
        <v>69</v>
      </c>
      <c r="B94" s="7"/>
      <c r="C94" s="13">
        <f t="shared" si="2"/>
        <v>0</v>
      </c>
      <c r="D94" s="13"/>
      <c r="E94" s="13"/>
      <c r="F94" s="13">
        <f t="shared" si="3"/>
        <v>0</v>
      </c>
      <c r="G94" s="13"/>
    </row>
    <row r="95" spans="1:7" ht="12.75">
      <c r="A95" s="26" t="s">
        <v>101</v>
      </c>
      <c r="B95" s="7"/>
      <c r="C95" s="13">
        <f t="shared" si="2"/>
        <v>0</v>
      </c>
      <c r="D95" s="13"/>
      <c r="E95" s="13"/>
      <c r="F95" s="13">
        <f t="shared" si="3"/>
        <v>0</v>
      </c>
      <c r="G95" s="13"/>
    </row>
    <row r="96" spans="1:10" ht="20.25" customHeight="1">
      <c r="A96" s="261" t="s">
        <v>102</v>
      </c>
      <c r="B96" s="261"/>
      <c r="C96" s="262">
        <f>+C71+C72+C73+C74+C75+C76+C81+C82+C83+C84+C85+C90+C91+C92+C93+C94+C95</f>
        <v>13088.230000000001</v>
      </c>
      <c r="D96" s="262">
        <f>SUM(D71:D95)</f>
        <v>2547.2</v>
      </c>
      <c r="E96" s="262">
        <f>+E71+E72+E73+E74+E75+E76+E81+E82+E83+E84+E85+E90+E91+E92+E93+E94+E95</f>
        <v>0</v>
      </c>
      <c r="F96" s="262">
        <f>+F71+F72+F73+F74+F75+F76+F81+F82+F83+F84+F85+F90+F91+F92+F93+F94+F95</f>
        <v>15635.43</v>
      </c>
      <c r="G96" s="263">
        <f>+G71+G72+G73+G74+G75+G76+G81+G82+G83+G84+G85+G90+G91+G92+G93+G94+G95</f>
        <v>0</v>
      </c>
      <c r="J96">
        <f>2554.29*5.75%</f>
        <v>146.871675</v>
      </c>
    </row>
    <row r="97" spans="3:7" ht="19.5" customHeight="1">
      <c r="C97" s="20"/>
      <c r="D97" s="20"/>
      <c r="E97" s="20"/>
      <c r="F97" s="20"/>
      <c r="G97" s="20"/>
    </row>
    <row r="98" spans="3:7" ht="19.5" customHeight="1">
      <c r="C98" s="20">
        <f>F65</f>
        <v>17513.715555813906</v>
      </c>
      <c r="D98" s="20">
        <f>'[2]Asset'!$D$127</f>
        <v>4744.667433906144</v>
      </c>
      <c r="E98" s="20"/>
      <c r="F98" s="20">
        <f>C98+D98-E98</f>
        <v>22258.38298972005</v>
      </c>
      <c r="G98" s="20"/>
    </row>
    <row r="99" spans="3:7" ht="19.5" customHeight="1">
      <c r="C99" s="20"/>
      <c r="D99" s="20"/>
      <c r="E99" s="20"/>
      <c r="F99" s="20"/>
      <c r="G99" s="20"/>
    </row>
    <row r="100" spans="1:7" ht="19.5" customHeight="1">
      <c r="A100" s="156" t="s">
        <v>478</v>
      </c>
      <c r="C100" s="20"/>
      <c r="D100" s="20"/>
      <c r="E100" t="s">
        <v>375</v>
      </c>
      <c r="F100" s="20"/>
      <c r="G100" s="20"/>
    </row>
    <row r="101" spans="1:7" ht="12.75">
      <c r="A101" s="423" t="s">
        <v>80</v>
      </c>
      <c r="B101" s="422" t="s">
        <v>13</v>
      </c>
      <c r="C101" s="422" t="s">
        <v>103</v>
      </c>
      <c r="D101" s="422" t="s">
        <v>104</v>
      </c>
      <c r="E101" s="422" t="s">
        <v>105</v>
      </c>
      <c r="F101" s="422" t="s">
        <v>106</v>
      </c>
      <c r="G101" s="422" t="s">
        <v>107</v>
      </c>
    </row>
    <row r="102" spans="1:7" ht="38.25" customHeight="1">
      <c r="A102" s="423"/>
      <c r="B102" s="422"/>
      <c r="C102" s="422"/>
      <c r="D102" s="422"/>
      <c r="E102" s="422"/>
      <c r="F102" s="422"/>
      <c r="G102" s="422"/>
    </row>
    <row r="103" spans="1:7" ht="12.75">
      <c r="A103" s="24" t="s">
        <v>81</v>
      </c>
      <c r="B103" s="7"/>
      <c r="C103" s="13">
        <f aca="true" t="shared" si="4" ref="C103:C127">+F71</f>
        <v>64.03</v>
      </c>
      <c r="D103" s="13">
        <f>0.3/100*D128</f>
        <v>11.1591</v>
      </c>
      <c r="E103" s="13"/>
      <c r="F103" s="13">
        <f>+C103+D103+E103</f>
        <v>75.1891</v>
      </c>
      <c r="G103" s="13"/>
    </row>
    <row r="104" spans="1:7" ht="12.75">
      <c r="A104" s="24" t="s">
        <v>82</v>
      </c>
      <c r="B104" s="7"/>
      <c r="C104" s="13">
        <f t="shared" si="4"/>
        <v>204.02</v>
      </c>
      <c r="D104" s="13">
        <f>0.02*D128</f>
        <v>74.39399999999999</v>
      </c>
      <c r="E104" s="13"/>
      <c r="F104" s="13">
        <f aca="true" t="shared" si="5" ref="F104:F127">+C104+D104+E104</f>
        <v>278.414</v>
      </c>
      <c r="G104" s="13"/>
    </row>
    <row r="105" spans="1:7" ht="12.75">
      <c r="A105" s="22" t="s">
        <v>83</v>
      </c>
      <c r="B105" s="7"/>
      <c r="C105" s="13">
        <f t="shared" si="4"/>
        <v>18.18</v>
      </c>
      <c r="D105" s="13"/>
      <c r="E105" s="13"/>
      <c r="F105" s="13">
        <f t="shared" si="5"/>
        <v>18.18</v>
      </c>
      <c r="G105" s="13"/>
    </row>
    <row r="106" spans="1:7" ht="12.75">
      <c r="A106" s="22" t="s">
        <v>84</v>
      </c>
      <c r="B106" s="7"/>
      <c r="C106" s="13">
        <f t="shared" si="4"/>
        <v>0</v>
      </c>
      <c r="D106" s="13"/>
      <c r="E106" s="13"/>
      <c r="F106" s="13">
        <f t="shared" si="5"/>
        <v>0</v>
      </c>
      <c r="G106" s="13"/>
    </row>
    <row r="107" spans="1:7" ht="12.75">
      <c r="A107" s="22" t="s">
        <v>85</v>
      </c>
      <c r="B107" s="7"/>
      <c r="C107" s="13">
        <f t="shared" si="4"/>
        <v>69.49999999999999</v>
      </c>
      <c r="D107" s="13">
        <f>0.15/100*D128</f>
        <v>5.57955</v>
      </c>
      <c r="E107" s="13"/>
      <c r="F107" s="13">
        <f t="shared" si="5"/>
        <v>75.07954999999998</v>
      </c>
      <c r="G107" s="13"/>
    </row>
    <row r="108" spans="1:7" ht="12.75">
      <c r="A108" s="19" t="s">
        <v>86</v>
      </c>
      <c r="B108" s="13"/>
      <c r="C108" s="13">
        <f t="shared" si="4"/>
        <v>6816.67</v>
      </c>
      <c r="D108" s="13">
        <f>0.53*D128</f>
        <v>1971.441</v>
      </c>
      <c r="E108" s="13">
        <f>+E109+E110+E111</f>
        <v>0</v>
      </c>
      <c r="F108" s="13">
        <f t="shared" si="5"/>
        <v>8788.111</v>
      </c>
      <c r="G108" s="13">
        <f>+G109+G110+G111</f>
        <v>0</v>
      </c>
    </row>
    <row r="109" spans="1:7" ht="12.75">
      <c r="A109" s="25" t="s">
        <v>87</v>
      </c>
      <c r="B109" s="7"/>
      <c r="C109" s="13">
        <f t="shared" si="4"/>
        <v>0</v>
      </c>
      <c r="D109" s="13"/>
      <c r="E109" s="13"/>
      <c r="F109" s="13">
        <f t="shared" si="5"/>
        <v>0</v>
      </c>
      <c r="G109" s="13"/>
    </row>
    <row r="110" spans="1:7" ht="12.75">
      <c r="A110" s="25" t="s">
        <v>88</v>
      </c>
      <c r="B110" s="7"/>
      <c r="C110" s="13">
        <f t="shared" si="4"/>
        <v>0</v>
      </c>
      <c r="D110" s="13"/>
      <c r="E110" s="13"/>
      <c r="F110" s="13">
        <f t="shared" si="5"/>
        <v>0</v>
      </c>
      <c r="G110" s="13"/>
    </row>
    <row r="111" spans="1:7" ht="12.75">
      <c r="A111" s="25" t="s">
        <v>89</v>
      </c>
      <c r="B111" s="7"/>
      <c r="C111" s="13">
        <f t="shared" si="4"/>
        <v>0</v>
      </c>
      <c r="D111" s="13"/>
      <c r="E111" s="13"/>
      <c r="F111" s="13">
        <f t="shared" si="5"/>
        <v>0</v>
      </c>
      <c r="G111" s="13"/>
    </row>
    <row r="112" spans="1:7" ht="12.75">
      <c r="A112" s="25"/>
      <c r="B112" s="7"/>
      <c r="C112" s="13">
        <f t="shared" si="4"/>
        <v>0</v>
      </c>
      <c r="D112" s="13"/>
      <c r="E112" s="13"/>
      <c r="F112" s="13">
        <f t="shared" si="5"/>
        <v>0</v>
      </c>
      <c r="G112" s="13"/>
    </row>
    <row r="113" spans="1:7" ht="12.75">
      <c r="A113" s="25" t="s">
        <v>90</v>
      </c>
      <c r="B113" s="7"/>
      <c r="C113" s="13">
        <f t="shared" si="4"/>
        <v>0</v>
      </c>
      <c r="D113" s="13"/>
      <c r="E113" s="13"/>
      <c r="F113" s="13">
        <f t="shared" si="5"/>
        <v>0</v>
      </c>
      <c r="G113" s="13"/>
    </row>
    <row r="114" spans="1:7" ht="12.75">
      <c r="A114" s="25" t="s">
        <v>91</v>
      </c>
      <c r="B114" s="7"/>
      <c r="C114" s="13">
        <f t="shared" si="4"/>
        <v>0</v>
      </c>
      <c r="D114" s="13"/>
      <c r="E114" s="13"/>
      <c r="F114" s="13">
        <f t="shared" si="5"/>
        <v>0</v>
      </c>
      <c r="G114" s="13"/>
    </row>
    <row r="115" spans="1:7" ht="12.75">
      <c r="A115" s="25" t="s">
        <v>92</v>
      </c>
      <c r="B115" s="7"/>
      <c r="C115" s="13">
        <f t="shared" si="4"/>
        <v>0</v>
      </c>
      <c r="D115" s="13"/>
      <c r="E115" s="13"/>
      <c r="F115" s="13">
        <f t="shared" si="5"/>
        <v>0</v>
      </c>
      <c r="G115" s="13"/>
    </row>
    <row r="116" spans="1:7" ht="12.75">
      <c r="A116" s="25" t="s">
        <v>69</v>
      </c>
      <c r="B116" s="7"/>
      <c r="C116" s="13">
        <f t="shared" si="4"/>
        <v>0</v>
      </c>
      <c r="D116" s="13"/>
      <c r="E116" s="13"/>
      <c r="F116" s="13">
        <f t="shared" si="5"/>
        <v>0</v>
      </c>
      <c r="G116" s="13"/>
    </row>
    <row r="117" spans="1:7" ht="12.75">
      <c r="A117" s="19" t="s">
        <v>93</v>
      </c>
      <c r="B117" s="13"/>
      <c r="C117" s="13">
        <f t="shared" si="4"/>
        <v>8383.4</v>
      </c>
      <c r="D117" s="13">
        <f>0.44*D128</f>
        <v>1636.668</v>
      </c>
      <c r="E117" s="13">
        <f>+E118+E119+E120</f>
        <v>0</v>
      </c>
      <c r="F117" s="13">
        <f t="shared" si="5"/>
        <v>10020.068</v>
      </c>
      <c r="G117" s="13">
        <f>+G118+G119+G120</f>
        <v>0</v>
      </c>
    </row>
    <row r="118" spans="1:7" ht="12.75">
      <c r="A118" s="18" t="s">
        <v>94</v>
      </c>
      <c r="B118" s="7"/>
      <c r="C118" s="13">
        <f t="shared" si="4"/>
        <v>0</v>
      </c>
      <c r="D118" s="13"/>
      <c r="E118" s="13"/>
      <c r="F118" s="13">
        <f t="shared" si="5"/>
        <v>0</v>
      </c>
      <c r="G118" s="13"/>
    </row>
    <row r="119" spans="1:7" ht="12.75">
      <c r="A119" s="18" t="s">
        <v>95</v>
      </c>
      <c r="B119" s="7"/>
      <c r="C119" s="13">
        <f t="shared" si="4"/>
        <v>0</v>
      </c>
      <c r="D119" s="13"/>
      <c r="E119" s="13"/>
      <c r="F119" s="13">
        <f t="shared" si="5"/>
        <v>0</v>
      </c>
      <c r="G119" s="13"/>
    </row>
    <row r="120" spans="1:7" ht="12.75">
      <c r="A120" s="25" t="s">
        <v>96</v>
      </c>
      <c r="B120" s="7"/>
      <c r="C120" s="13">
        <f t="shared" si="4"/>
        <v>0</v>
      </c>
      <c r="D120" s="13"/>
      <c r="E120" s="13"/>
      <c r="F120" s="13">
        <f t="shared" si="5"/>
        <v>0</v>
      </c>
      <c r="G120" s="13"/>
    </row>
    <row r="121" spans="1:7" ht="12.75">
      <c r="A121" s="25" t="s">
        <v>69</v>
      </c>
      <c r="B121" s="7"/>
      <c r="C121" s="13">
        <f t="shared" si="4"/>
        <v>0</v>
      </c>
      <c r="D121" s="13"/>
      <c r="E121" s="13"/>
      <c r="F121" s="13">
        <f t="shared" si="5"/>
        <v>0</v>
      </c>
      <c r="G121" s="13"/>
    </row>
    <row r="122" spans="1:7" ht="12.75">
      <c r="A122" s="26" t="s">
        <v>97</v>
      </c>
      <c r="B122" s="7"/>
      <c r="C122" s="13">
        <f t="shared" si="4"/>
        <v>2.83</v>
      </c>
      <c r="D122" s="13"/>
      <c r="E122" s="13"/>
      <c r="F122" s="13">
        <f t="shared" si="5"/>
        <v>2.83</v>
      </c>
      <c r="G122" s="13"/>
    </row>
    <row r="123" spans="1:7" ht="12.75">
      <c r="A123" s="26" t="s">
        <v>98</v>
      </c>
      <c r="B123" s="7"/>
      <c r="C123" s="13">
        <f t="shared" si="4"/>
        <v>6.52</v>
      </c>
      <c r="D123" s="13">
        <f>0.05/100*D128</f>
        <v>1.85985</v>
      </c>
      <c r="E123" s="13"/>
      <c r="F123" s="13">
        <f t="shared" si="5"/>
        <v>8.37985</v>
      </c>
      <c r="G123" s="13"/>
    </row>
    <row r="124" spans="1:7" ht="12.75">
      <c r="A124" s="26" t="s">
        <v>99</v>
      </c>
      <c r="B124" s="7"/>
      <c r="C124" s="13">
        <f t="shared" si="4"/>
        <v>70.28</v>
      </c>
      <c r="D124" s="13">
        <f>0.5/100*D128</f>
        <v>18.598499999999998</v>
      </c>
      <c r="E124" s="13"/>
      <c r="F124" s="13">
        <f t="shared" si="5"/>
        <v>88.8785</v>
      </c>
      <c r="G124" s="13"/>
    </row>
    <row r="125" spans="1:7" ht="12.75">
      <c r="A125" s="26" t="s">
        <v>100</v>
      </c>
      <c r="B125" s="7"/>
      <c r="C125" s="13">
        <f t="shared" si="4"/>
        <v>0</v>
      </c>
      <c r="D125" s="13"/>
      <c r="E125" s="13"/>
      <c r="F125" s="13">
        <f t="shared" si="5"/>
        <v>0</v>
      </c>
      <c r="G125" s="13"/>
    </row>
    <row r="126" spans="1:7" ht="12.75">
      <c r="A126" s="26" t="s">
        <v>69</v>
      </c>
      <c r="B126" s="7"/>
      <c r="C126" s="13">
        <f t="shared" si="4"/>
        <v>0</v>
      </c>
      <c r="D126" s="13"/>
      <c r="E126" s="13"/>
      <c r="F126" s="13">
        <f t="shared" si="5"/>
        <v>0</v>
      </c>
      <c r="G126" s="13"/>
    </row>
    <row r="127" spans="1:7" ht="12.75">
      <c r="A127" s="26" t="s">
        <v>101</v>
      </c>
      <c r="B127" s="7"/>
      <c r="C127" s="13">
        <f t="shared" si="4"/>
        <v>0</v>
      </c>
      <c r="D127" s="13"/>
      <c r="E127" s="13"/>
      <c r="F127" s="13">
        <f t="shared" si="5"/>
        <v>0</v>
      </c>
      <c r="G127" s="13"/>
    </row>
    <row r="128" spans="1:10" ht="20.25" customHeight="1">
      <c r="A128" s="261" t="s">
        <v>102</v>
      </c>
      <c r="B128" s="261"/>
      <c r="C128" s="262">
        <f>+C103+C104+C105+C106+C107+C108+C113+C114+C115+C116+C117+C122+C123+C124+C125+C126+C127</f>
        <v>15635.43</v>
      </c>
      <c r="D128" s="262">
        <v>3719.7</v>
      </c>
      <c r="E128" s="262">
        <f>+E103+E104+E105+E106+E107+E108+E113+E114+E115+E116+E117+E122+E123+E124+E125+E126+E127</f>
        <v>0</v>
      </c>
      <c r="F128" s="262">
        <f>+F103+F104+F105+F106+F107+F108+F113+F114+F115+F116+F117+F122+F123+F124+F125+F126+F127</f>
        <v>19355.13</v>
      </c>
      <c r="G128" s="263">
        <f>+G103+G104+G105+G106+G107+G108+G113+G114+G115+G116+G117+G122+G123+G124+G125+G126+G127</f>
        <v>0</v>
      </c>
      <c r="J128">
        <f>3726.07*5.75%</f>
        <v>214.24902500000002</v>
      </c>
    </row>
    <row r="129" spans="3:7" ht="19.5" customHeight="1">
      <c r="C129" s="20"/>
      <c r="D129" s="20"/>
      <c r="E129" s="20"/>
      <c r="F129" s="20"/>
      <c r="G129" s="20"/>
    </row>
    <row r="130" spans="3:7" ht="19.5" customHeight="1">
      <c r="C130" s="20">
        <f>F98</f>
        <v>22258.38298972005</v>
      </c>
      <c r="D130" s="20">
        <f>'[2]Asset'!$D$159</f>
        <v>5058.520047062942</v>
      </c>
      <c r="E130" s="20"/>
      <c r="F130" s="20">
        <f>C130+D130-E130</f>
        <v>27316.90303678299</v>
      </c>
      <c r="G130" s="20"/>
    </row>
    <row r="131" spans="3:7" ht="19.5" customHeight="1">
      <c r="C131" s="20"/>
      <c r="D131" s="20"/>
      <c r="E131" s="20"/>
      <c r="F131" s="20"/>
      <c r="G131" s="20"/>
    </row>
    <row r="132" spans="1:7" ht="19.5" customHeight="1">
      <c r="A132" s="156" t="s">
        <v>479</v>
      </c>
      <c r="C132" s="20"/>
      <c r="D132" s="20"/>
      <c r="E132" t="s">
        <v>375</v>
      </c>
      <c r="F132" s="20"/>
      <c r="G132" s="20"/>
    </row>
    <row r="133" spans="1:7" ht="12.75">
      <c r="A133" s="423" t="s">
        <v>80</v>
      </c>
      <c r="B133" s="422" t="s">
        <v>13</v>
      </c>
      <c r="C133" s="422" t="s">
        <v>103</v>
      </c>
      <c r="D133" s="422" t="s">
        <v>104</v>
      </c>
      <c r="E133" s="422" t="s">
        <v>105</v>
      </c>
      <c r="F133" s="422" t="s">
        <v>106</v>
      </c>
      <c r="G133" s="422" t="s">
        <v>107</v>
      </c>
    </row>
    <row r="134" spans="1:7" ht="38.25" customHeight="1">
      <c r="A134" s="423"/>
      <c r="B134" s="422"/>
      <c r="C134" s="422"/>
      <c r="D134" s="422"/>
      <c r="E134" s="422"/>
      <c r="F134" s="422"/>
      <c r="G134" s="422"/>
    </row>
    <row r="135" spans="1:7" ht="12.75">
      <c r="A135" s="24" t="s">
        <v>81</v>
      </c>
      <c r="B135" s="7"/>
      <c r="C135" s="13">
        <f aca="true" t="shared" si="6" ref="C135:C159">+F103</f>
        <v>75.1891</v>
      </c>
      <c r="D135" s="13">
        <f>0.3/100*D160</f>
        <v>14.641770000000001</v>
      </c>
      <c r="E135" s="13"/>
      <c r="F135" s="13">
        <f>+C135+D135+E135</f>
        <v>89.83087</v>
      </c>
      <c r="G135" s="13"/>
    </row>
    <row r="136" spans="1:7" ht="12.75">
      <c r="A136" s="24" t="s">
        <v>82</v>
      </c>
      <c r="B136" s="7"/>
      <c r="C136" s="13">
        <f t="shared" si="6"/>
        <v>278.414</v>
      </c>
      <c r="D136" s="13">
        <f>0.02*D160</f>
        <v>97.6118</v>
      </c>
      <c r="E136" s="13"/>
      <c r="F136" s="13">
        <f aca="true" t="shared" si="7" ref="F136:F159">+C136+D136+E136</f>
        <v>376.0258</v>
      </c>
      <c r="G136" s="13"/>
    </row>
    <row r="137" spans="1:7" ht="12.75">
      <c r="A137" s="22" t="s">
        <v>83</v>
      </c>
      <c r="B137" s="7"/>
      <c r="C137" s="13">
        <f t="shared" si="6"/>
        <v>18.18</v>
      </c>
      <c r="D137" s="13"/>
      <c r="E137" s="13"/>
      <c r="F137" s="13">
        <f t="shared" si="7"/>
        <v>18.18</v>
      </c>
      <c r="G137" s="13"/>
    </row>
    <row r="138" spans="1:7" ht="12.75">
      <c r="A138" s="22" t="s">
        <v>84</v>
      </c>
      <c r="B138" s="7"/>
      <c r="C138" s="13">
        <f t="shared" si="6"/>
        <v>0</v>
      </c>
      <c r="D138" s="13"/>
      <c r="E138" s="13"/>
      <c r="F138" s="13">
        <f t="shared" si="7"/>
        <v>0</v>
      </c>
      <c r="G138" s="13"/>
    </row>
    <row r="139" spans="1:7" ht="12.75">
      <c r="A139" s="22" t="s">
        <v>85</v>
      </c>
      <c r="B139" s="7"/>
      <c r="C139" s="13">
        <f t="shared" si="6"/>
        <v>75.07954999999998</v>
      </c>
      <c r="D139" s="13">
        <f>0.15/100*D160</f>
        <v>7.3208850000000005</v>
      </c>
      <c r="E139" s="13"/>
      <c r="F139" s="13">
        <f t="shared" si="7"/>
        <v>82.40043499999999</v>
      </c>
      <c r="G139" s="13"/>
    </row>
    <row r="140" spans="1:7" ht="12.75">
      <c r="A140" s="19" t="s">
        <v>86</v>
      </c>
      <c r="B140" s="13"/>
      <c r="C140" s="13">
        <f t="shared" si="6"/>
        <v>8788.111</v>
      </c>
      <c r="D140" s="13">
        <f>0.53*D160</f>
        <v>2586.7127</v>
      </c>
      <c r="E140" s="13">
        <f>+E141+E142+E143</f>
        <v>0</v>
      </c>
      <c r="F140" s="13">
        <f t="shared" si="7"/>
        <v>11374.8237</v>
      </c>
      <c r="G140" s="13">
        <f>+G141+G142+G143</f>
        <v>0</v>
      </c>
    </row>
    <row r="141" spans="1:7" ht="12.75">
      <c r="A141" s="25" t="s">
        <v>87</v>
      </c>
      <c r="B141" s="7"/>
      <c r="C141" s="13">
        <f t="shared" si="6"/>
        <v>0</v>
      </c>
      <c r="D141" s="13"/>
      <c r="E141" s="13"/>
      <c r="F141" s="13">
        <f t="shared" si="7"/>
        <v>0</v>
      </c>
      <c r="G141" s="13"/>
    </row>
    <row r="142" spans="1:7" ht="12.75">
      <c r="A142" s="25" t="s">
        <v>88</v>
      </c>
      <c r="B142" s="7"/>
      <c r="C142" s="13">
        <f t="shared" si="6"/>
        <v>0</v>
      </c>
      <c r="D142" s="13"/>
      <c r="E142" s="13"/>
      <c r="F142" s="13">
        <f t="shared" si="7"/>
        <v>0</v>
      </c>
      <c r="G142" s="13"/>
    </row>
    <row r="143" spans="1:7" ht="12.75">
      <c r="A143" s="25" t="s">
        <v>89</v>
      </c>
      <c r="B143" s="7"/>
      <c r="C143" s="13">
        <f t="shared" si="6"/>
        <v>0</v>
      </c>
      <c r="D143" s="13"/>
      <c r="E143" s="13"/>
      <c r="F143" s="13">
        <f t="shared" si="7"/>
        <v>0</v>
      </c>
      <c r="G143" s="13"/>
    </row>
    <row r="144" spans="1:7" ht="12.75">
      <c r="A144" s="25"/>
      <c r="B144" s="7"/>
      <c r="C144" s="13">
        <f t="shared" si="6"/>
        <v>0</v>
      </c>
      <c r="D144" s="13"/>
      <c r="E144" s="13"/>
      <c r="F144" s="13">
        <f t="shared" si="7"/>
        <v>0</v>
      </c>
      <c r="G144" s="13"/>
    </row>
    <row r="145" spans="1:7" ht="12.75">
      <c r="A145" s="25" t="s">
        <v>90</v>
      </c>
      <c r="B145" s="7"/>
      <c r="C145" s="13">
        <f t="shared" si="6"/>
        <v>0</v>
      </c>
      <c r="D145" s="13"/>
      <c r="E145" s="13"/>
      <c r="F145" s="13">
        <f t="shared" si="7"/>
        <v>0</v>
      </c>
      <c r="G145" s="13"/>
    </row>
    <row r="146" spans="1:7" ht="12.75">
      <c r="A146" s="25" t="s">
        <v>91</v>
      </c>
      <c r="B146" s="7"/>
      <c r="C146" s="13">
        <f t="shared" si="6"/>
        <v>0</v>
      </c>
      <c r="D146" s="13"/>
      <c r="E146" s="13"/>
      <c r="F146" s="13">
        <f t="shared" si="7"/>
        <v>0</v>
      </c>
      <c r="G146" s="13"/>
    </row>
    <row r="147" spans="1:7" ht="12.75">
      <c r="A147" s="25" t="s">
        <v>92</v>
      </c>
      <c r="B147" s="7"/>
      <c r="C147" s="13">
        <f t="shared" si="6"/>
        <v>0</v>
      </c>
      <c r="D147" s="13"/>
      <c r="E147" s="13"/>
      <c r="F147" s="13">
        <f t="shared" si="7"/>
        <v>0</v>
      </c>
      <c r="G147" s="13"/>
    </row>
    <row r="148" spans="1:7" ht="12.75">
      <c r="A148" s="25" t="s">
        <v>69</v>
      </c>
      <c r="B148" s="7"/>
      <c r="C148" s="13">
        <f t="shared" si="6"/>
        <v>0</v>
      </c>
      <c r="D148" s="13"/>
      <c r="E148" s="13"/>
      <c r="F148" s="13">
        <f t="shared" si="7"/>
        <v>0</v>
      </c>
      <c r="G148" s="13"/>
    </row>
    <row r="149" spans="1:7" ht="12.75">
      <c r="A149" s="19" t="s">
        <v>93</v>
      </c>
      <c r="B149" s="13"/>
      <c r="C149" s="13">
        <f t="shared" si="6"/>
        <v>10020.068</v>
      </c>
      <c r="D149" s="13">
        <f>0.44*D160</f>
        <v>2147.4596</v>
      </c>
      <c r="E149" s="13">
        <f>+E150+E151+E152</f>
        <v>0</v>
      </c>
      <c r="F149" s="13">
        <f t="shared" si="7"/>
        <v>12167.5276</v>
      </c>
      <c r="G149" s="13">
        <f>+G150+G151+G152</f>
        <v>0</v>
      </c>
    </row>
    <row r="150" spans="1:7" ht="12.75">
      <c r="A150" s="18" t="s">
        <v>94</v>
      </c>
      <c r="B150" s="7"/>
      <c r="C150" s="13">
        <f t="shared" si="6"/>
        <v>0</v>
      </c>
      <c r="D150" s="13"/>
      <c r="E150" s="13"/>
      <c r="F150" s="13">
        <f t="shared" si="7"/>
        <v>0</v>
      </c>
      <c r="G150" s="13"/>
    </row>
    <row r="151" spans="1:7" ht="12.75">
      <c r="A151" s="18" t="s">
        <v>95</v>
      </c>
      <c r="B151" s="7"/>
      <c r="C151" s="13">
        <f t="shared" si="6"/>
        <v>0</v>
      </c>
      <c r="D151" s="13"/>
      <c r="E151" s="13"/>
      <c r="F151" s="13">
        <f t="shared" si="7"/>
        <v>0</v>
      </c>
      <c r="G151" s="13"/>
    </row>
    <row r="152" spans="1:7" ht="12.75">
      <c r="A152" s="25" t="s">
        <v>96</v>
      </c>
      <c r="B152" s="7"/>
      <c r="C152" s="13">
        <f t="shared" si="6"/>
        <v>0</v>
      </c>
      <c r="D152" s="13"/>
      <c r="E152" s="13"/>
      <c r="F152" s="13">
        <f t="shared" si="7"/>
        <v>0</v>
      </c>
      <c r="G152" s="13"/>
    </row>
    <row r="153" spans="1:7" ht="12.75">
      <c r="A153" s="25" t="s">
        <v>69</v>
      </c>
      <c r="B153" s="7"/>
      <c r="C153" s="13">
        <f t="shared" si="6"/>
        <v>0</v>
      </c>
      <c r="D153" s="13"/>
      <c r="E153" s="13"/>
      <c r="F153" s="13">
        <f t="shared" si="7"/>
        <v>0</v>
      </c>
      <c r="G153" s="13"/>
    </row>
    <row r="154" spans="1:7" ht="12.75">
      <c r="A154" s="26" t="s">
        <v>97</v>
      </c>
      <c r="B154" s="7"/>
      <c r="C154" s="13">
        <f t="shared" si="6"/>
        <v>2.83</v>
      </c>
      <c r="D154" s="13"/>
      <c r="E154" s="13"/>
      <c r="F154" s="13">
        <f t="shared" si="7"/>
        <v>2.83</v>
      </c>
      <c r="G154" s="13"/>
    </row>
    <row r="155" spans="1:7" ht="12.75">
      <c r="A155" s="26" t="s">
        <v>98</v>
      </c>
      <c r="B155" s="7"/>
      <c r="C155" s="13">
        <f t="shared" si="6"/>
        <v>8.37985</v>
      </c>
      <c r="D155" s="13">
        <f>0.05/100*D160</f>
        <v>2.4402950000000003</v>
      </c>
      <c r="E155" s="13"/>
      <c r="F155" s="13">
        <f t="shared" si="7"/>
        <v>10.820145</v>
      </c>
      <c r="G155" s="13"/>
    </row>
    <row r="156" spans="1:7" ht="12.75">
      <c r="A156" s="26" t="s">
        <v>99</v>
      </c>
      <c r="B156" s="7"/>
      <c r="C156" s="13">
        <f t="shared" si="6"/>
        <v>88.8785</v>
      </c>
      <c r="D156" s="13">
        <f>0.5/100*D160</f>
        <v>24.40295</v>
      </c>
      <c r="E156" s="13"/>
      <c r="F156" s="13">
        <f t="shared" si="7"/>
        <v>113.28145</v>
      </c>
      <c r="G156" s="13"/>
    </row>
    <row r="157" spans="1:7" ht="12.75">
      <c r="A157" s="26" t="s">
        <v>100</v>
      </c>
      <c r="B157" s="7"/>
      <c r="C157" s="13">
        <f t="shared" si="6"/>
        <v>0</v>
      </c>
      <c r="D157" s="13"/>
      <c r="E157" s="13"/>
      <c r="F157" s="13">
        <f t="shared" si="7"/>
        <v>0</v>
      </c>
      <c r="G157" s="13"/>
    </row>
    <row r="158" spans="1:7" ht="12.75">
      <c r="A158" s="26" t="s">
        <v>69</v>
      </c>
      <c r="B158" s="7"/>
      <c r="C158" s="13">
        <f t="shared" si="6"/>
        <v>0</v>
      </c>
      <c r="D158" s="13"/>
      <c r="E158" s="13"/>
      <c r="F158" s="13">
        <f t="shared" si="7"/>
        <v>0</v>
      </c>
      <c r="G158" s="13"/>
    </row>
    <row r="159" spans="1:7" ht="12.75">
      <c r="A159" s="26" t="s">
        <v>101</v>
      </c>
      <c r="B159" s="7"/>
      <c r="C159" s="13">
        <f t="shared" si="6"/>
        <v>0</v>
      </c>
      <c r="D159" s="13"/>
      <c r="E159" s="13"/>
      <c r="F159" s="13">
        <f t="shared" si="7"/>
        <v>0</v>
      </c>
      <c r="G159" s="13"/>
    </row>
    <row r="160" spans="1:10" ht="20.25" customHeight="1">
      <c r="A160" s="261" t="s">
        <v>102</v>
      </c>
      <c r="B160" s="261"/>
      <c r="C160" s="262">
        <f>+C135+C136+C137+C138+C139+C140+C145+C146+C147+C148+C149+C154+C155+C156+C157+C158+C159</f>
        <v>19355.13</v>
      </c>
      <c r="D160" s="262">
        <v>4880.59</v>
      </c>
      <c r="E160" s="262">
        <f>+E135+E136+E137+E138+E139+E140+E145+E146+E147+E148+E149+E154+E155+E156+E157+E158+E159</f>
        <v>0</v>
      </c>
      <c r="F160" s="262">
        <f>+F135+F136+F137+F138+F139+F140+F145+F146+F147+F148+F149+F154+F155+F156+F157+F158+F159</f>
        <v>24235.72</v>
      </c>
      <c r="G160" s="263">
        <f>+G135+G136+G137+G138+G139+G140+G145+G146+G147+G148+G149+G154+G155+G156+G157+G158+G159</f>
        <v>0</v>
      </c>
      <c r="J160">
        <f>4886.24*5.75%</f>
        <v>280.9588</v>
      </c>
    </row>
    <row r="161" spans="3:7" ht="19.5" customHeight="1">
      <c r="C161" s="20"/>
      <c r="D161" s="20"/>
      <c r="E161" s="20"/>
      <c r="F161" s="20"/>
      <c r="G161" s="20"/>
    </row>
    <row r="162" spans="3:7" ht="19.5" customHeight="1">
      <c r="C162" s="20">
        <f>F130</f>
        <v>27316.90303678299</v>
      </c>
      <c r="D162" s="20">
        <f>'[2]Asset'!$D$191</f>
        <v>3758.5004220295855</v>
      </c>
      <c r="E162" s="20"/>
      <c r="F162" s="20">
        <f>C162+D162-E162</f>
        <v>31075.403458812576</v>
      </c>
      <c r="G162" s="20"/>
    </row>
    <row r="163" spans="3:7" ht="19.5" customHeight="1">
      <c r="C163" s="20"/>
      <c r="D163" s="20"/>
      <c r="E163" s="20"/>
      <c r="F163" s="20"/>
      <c r="G163" s="20"/>
    </row>
    <row r="164" spans="1:7" ht="19.5" customHeight="1">
      <c r="A164" s="156" t="s">
        <v>480</v>
      </c>
      <c r="C164" s="20"/>
      <c r="D164" s="20"/>
      <c r="E164" t="s">
        <v>375</v>
      </c>
      <c r="F164" s="20"/>
      <c r="G164" s="20"/>
    </row>
    <row r="165" spans="1:7" ht="12.75">
      <c r="A165" s="423" t="s">
        <v>80</v>
      </c>
      <c r="B165" s="422" t="s">
        <v>13</v>
      </c>
      <c r="C165" s="422" t="s">
        <v>103</v>
      </c>
      <c r="D165" s="422" t="s">
        <v>104</v>
      </c>
      <c r="E165" s="422" t="s">
        <v>105</v>
      </c>
      <c r="F165" s="422" t="s">
        <v>106</v>
      </c>
      <c r="G165" s="422" t="s">
        <v>107</v>
      </c>
    </row>
    <row r="166" spans="1:7" ht="38.25" customHeight="1">
      <c r="A166" s="423"/>
      <c r="B166" s="422"/>
      <c r="C166" s="422"/>
      <c r="D166" s="422"/>
      <c r="E166" s="422"/>
      <c r="F166" s="422"/>
      <c r="G166" s="422"/>
    </row>
    <row r="167" spans="1:7" ht="12.75">
      <c r="A167" s="24" t="s">
        <v>81</v>
      </c>
      <c r="B167" s="7"/>
      <c r="C167" s="13">
        <f aca="true" t="shared" si="8" ref="C167:C191">+F135</f>
        <v>89.83087</v>
      </c>
      <c r="D167" s="13">
        <f>0.3/100*D192</f>
        <v>12.64311</v>
      </c>
      <c r="E167" s="13"/>
      <c r="F167" s="13">
        <f>+C167+D167+E167</f>
        <v>102.47398000000001</v>
      </c>
      <c r="G167" s="13"/>
    </row>
    <row r="168" spans="1:7" ht="12.75">
      <c r="A168" s="24" t="s">
        <v>82</v>
      </c>
      <c r="B168" s="7"/>
      <c r="C168" s="13">
        <f t="shared" si="8"/>
        <v>376.0258</v>
      </c>
      <c r="D168" s="13">
        <f>0.02*D192</f>
        <v>84.2874</v>
      </c>
      <c r="E168" s="13"/>
      <c r="F168" s="13">
        <f aca="true" t="shared" si="9" ref="F168:F191">+C168+D168+E168</f>
        <v>460.3132</v>
      </c>
      <c r="G168" s="13"/>
    </row>
    <row r="169" spans="1:7" ht="12.75">
      <c r="A169" s="22" t="s">
        <v>83</v>
      </c>
      <c r="B169" s="7"/>
      <c r="C169" s="13">
        <f t="shared" si="8"/>
        <v>18.18</v>
      </c>
      <c r="D169" s="13"/>
      <c r="E169" s="13"/>
      <c r="F169" s="13">
        <f t="shared" si="9"/>
        <v>18.18</v>
      </c>
      <c r="G169" s="13"/>
    </row>
    <row r="170" spans="1:7" ht="12.75">
      <c r="A170" s="22" t="s">
        <v>84</v>
      </c>
      <c r="B170" s="7"/>
      <c r="C170" s="13">
        <f t="shared" si="8"/>
        <v>0</v>
      </c>
      <c r="D170" s="13"/>
      <c r="E170" s="13"/>
      <c r="F170" s="13">
        <f t="shared" si="9"/>
        <v>0</v>
      </c>
      <c r="G170" s="13"/>
    </row>
    <row r="171" spans="1:7" ht="12.75">
      <c r="A171" s="22" t="s">
        <v>85</v>
      </c>
      <c r="B171" s="7"/>
      <c r="C171" s="13">
        <f t="shared" si="8"/>
        <v>82.40043499999999</v>
      </c>
      <c r="D171" s="13">
        <f>0.15/100*D192</f>
        <v>6.321555</v>
      </c>
      <c r="E171" s="13"/>
      <c r="F171" s="13">
        <f t="shared" si="9"/>
        <v>88.72198999999999</v>
      </c>
      <c r="G171" s="13"/>
    </row>
    <row r="172" spans="1:7" ht="12.75">
      <c r="A172" s="19" t="s">
        <v>86</v>
      </c>
      <c r="B172" s="13"/>
      <c r="C172" s="13">
        <f t="shared" si="8"/>
        <v>11374.8237</v>
      </c>
      <c r="D172" s="13">
        <f>0.53*D192</f>
        <v>2233.6161</v>
      </c>
      <c r="E172" s="13">
        <f>+E173+E174+E175</f>
        <v>0</v>
      </c>
      <c r="F172" s="13">
        <f t="shared" si="9"/>
        <v>13608.4398</v>
      </c>
      <c r="G172" s="13">
        <f>+G173+G174+G175</f>
        <v>0</v>
      </c>
    </row>
    <row r="173" spans="1:7" ht="12.75">
      <c r="A173" s="25" t="s">
        <v>87</v>
      </c>
      <c r="B173" s="7"/>
      <c r="C173" s="13">
        <f t="shared" si="8"/>
        <v>0</v>
      </c>
      <c r="D173" s="13"/>
      <c r="E173" s="13"/>
      <c r="F173" s="13">
        <f t="shared" si="9"/>
        <v>0</v>
      </c>
      <c r="G173" s="13"/>
    </row>
    <row r="174" spans="1:7" ht="12.75">
      <c r="A174" s="25" t="s">
        <v>88</v>
      </c>
      <c r="B174" s="7"/>
      <c r="C174" s="13">
        <f t="shared" si="8"/>
        <v>0</v>
      </c>
      <c r="D174" s="13"/>
      <c r="E174" s="13"/>
      <c r="F174" s="13">
        <f t="shared" si="9"/>
        <v>0</v>
      </c>
      <c r="G174" s="13"/>
    </row>
    <row r="175" spans="1:7" ht="12.75">
      <c r="A175" s="25" t="s">
        <v>89</v>
      </c>
      <c r="B175" s="7"/>
      <c r="C175" s="13">
        <f t="shared" si="8"/>
        <v>0</v>
      </c>
      <c r="D175" s="13"/>
      <c r="E175" s="13"/>
      <c r="F175" s="13">
        <f t="shared" si="9"/>
        <v>0</v>
      </c>
      <c r="G175" s="13"/>
    </row>
    <row r="176" spans="1:7" ht="12.75">
      <c r="A176" s="25"/>
      <c r="B176" s="7"/>
      <c r="C176" s="13">
        <f t="shared" si="8"/>
        <v>0</v>
      </c>
      <c r="D176" s="13"/>
      <c r="E176" s="13"/>
      <c r="F176" s="13">
        <f t="shared" si="9"/>
        <v>0</v>
      </c>
      <c r="G176" s="13"/>
    </row>
    <row r="177" spans="1:7" ht="12.75">
      <c r="A177" s="25" t="s">
        <v>90</v>
      </c>
      <c r="B177" s="7"/>
      <c r="C177" s="13">
        <f t="shared" si="8"/>
        <v>0</v>
      </c>
      <c r="D177" s="13"/>
      <c r="E177" s="13"/>
      <c r="F177" s="13">
        <f t="shared" si="9"/>
        <v>0</v>
      </c>
      <c r="G177" s="13"/>
    </row>
    <row r="178" spans="1:7" ht="12.75">
      <c r="A178" s="25" t="s">
        <v>91</v>
      </c>
      <c r="B178" s="7"/>
      <c r="C178" s="13">
        <f t="shared" si="8"/>
        <v>0</v>
      </c>
      <c r="D178" s="13"/>
      <c r="E178" s="13"/>
      <c r="F178" s="13">
        <f t="shared" si="9"/>
        <v>0</v>
      </c>
      <c r="G178" s="13"/>
    </row>
    <row r="179" spans="1:7" ht="12.75">
      <c r="A179" s="25" t="s">
        <v>92</v>
      </c>
      <c r="B179" s="7"/>
      <c r="C179" s="13">
        <f t="shared" si="8"/>
        <v>0</v>
      </c>
      <c r="D179" s="13"/>
      <c r="E179" s="13"/>
      <c r="F179" s="13">
        <f t="shared" si="9"/>
        <v>0</v>
      </c>
      <c r="G179" s="13"/>
    </row>
    <row r="180" spans="1:7" ht="12.75">
      <c r="A180" s="25" t="s">
        <v>69</v>
      </c>
      <c r="B180" s="7"/>
      <c r="C180" s="13">
        <f t="shared" si="8"/>
        <v>0</v>
      </c>
      <c r="D180" s="13"/>
      <c r="E180" s="13"/>
      <c r="F180" s="13">
        <f t="shared" si="9"/>
        <v>0</v>
      </c>
      <c r="G180" s="13"/>
    </row>
    <row r="181" spans="1:7" ht="12.75">
      <c r="A181" s="19" t="s">
        <v>93</v>
      </c>
      <c r="B181" s="13"/>
      <c r="C181" s="13">
        <f t="shared" si="8"/>
        <v>12167.5276</v>
      </c>
      <c r="D181" s="13">
        <f>0.44*D192</f>
        <v>1854.3228</v>
      </c>
      <c r="E181" s="13">
        <f>+E182+E183+E184</f>
        <v>0</v>
      </c>
      <c r="F181" s="13">
        <f t="shared" si="9"/>
        <v>14021.8504</v>
      </c>
      <c r="G181" s="13">
        <f>+G182+G183+G184</f>
        <v>0</v>
      </c>
    </row>
    <row r="182" spans="1:7" ht="12.75">
      <c r="A182" s="18" t="s">
        <v>94</v>
      </c>
      <c r="B182" s="7"/>
      <c r="C182" s="13">
        <f t="shared" si="8"/>
        <v>0</v>
      </c>
      <c r="D182" s="13"/>
      <c r="E182" s="13"/>
      <c r="F182" s="13">
        <f t="shared" si="9"/>
        <v>0</v>
      </c>
      <c r="G182" s="13"/>
    </row>
    <row r="183" spans="1:7" ht="12.75">
      <c r="A183" s="18" t="s">
        <v>95</v>
      </c>
      <c r="B183" s="7"/>
      <c r="C183" s="13">
        <f t="shared" si="8"/>
        <v>0</v>
      </c>
      <c r="D183" s="13"/>
      <c r="E183" s="13"/>
      <c r="F183" s="13">
        <f t="shared" si="9"/>
        <v>0</v>
      </c>
      <c r="G183" s="13"/>
    </row>
    <row r="184" spans="1:7" ht="12.75">
      <c r="A184" s="25" t="s">
        <v>96</v>
      </c>
      <c r="B184" s="7"/>
      <c r="C184" s="13">
        <f t="shared" si="8"/>
        <v>0</v>
      </c>
      <c r="D184" s="13"/>
      <c r="E184" s="13"/>
      <c r="F184" s="13">
        <f t="shared" si="9"/>
        <v>0</v>
      </c>
      <c r="G184" s="13"/>
    </row>
    <row r="185" spans="1:7" ht="12.75">
      <c r="A185" s="25" t="s">
        <v>69</v>
      </c>
      <c r="B185" s="7"/>
      <c r="C185" s="13">
        <f t="shared" si="8"/>
        <v>0</v>
      </c>
      <c r="D185" s="13"/>
      <c r="E185" s="13"/>
      <c r="F185" s="13">
        <f t="shared" si="9"/>
        <v>0</v>
      </c>
      <c r="G185" s="13"/>
    </row>
    <row r="186" spans="1:7" ht="12.75">
      <c r="A186" s="26" t="s">
        <v>97</v>
      </c>
      <c r="B186" s="7"/>
      <c r="C186" s="13">
        <f t="shared" si="8"/>
        <v>2.83</v>
      </c>
      <c r="D186" s="13"/>
      <c r="E186" s="13"/>
      <c r="F186" s="13">
        <f t="shared" si="9"/>
        <v>2.83</v>
      </c>
      <c r="G186" s="13"/>
    </row>
    <row r="187" spans="1:7" ht="12.75">
      <c r="A187" s="26" t="s">
        <v>98</v>
      </c>
      <c r="B187" s="7"/>
      <c r="C187" s="13">
        <f t="shared" si="8"/>
        <v>10.820145</v>
      </c>
      <c r="D187" s="13">
        <f>0.05/100*D192</f>
        <v>2.107185</v>
      </c>
      <c r="E187" s="13"/>
      <c r="F187" s="13">
        <f t="shared" si="9"/>
        <v>12.92733</v>
      </c>
      <c r="G187" s="13"/>
    </row>
    <row r="188" spans="1:7" ht="12.75">
      <c r="A188" s="26" t="s">
        <v>99</v>
      </c>
      <c r="B188" s="7"/>
      <c r="C188" s="13">
        <f t="shared" si="8"/>
        <v>113.28145</v>
      </c>
      <c r="D188" s="13">
        <f>0.5/100*D192</f>
        <v>21.07185</v>
      </c>
      <c r="E188" s="13"/>
      <c r="F188" s="13">
        <f t="shared" si="9"/>
        <v>134.35330000000002</v>
      </c>
      <c r="G188" s="13"/>
    </row>
    <row r="189" spans="1:7" ht="12.75">
      <c r="A189" s="26" t="s">
        <v>100</v>
      </c>
      <c r="B189" s="7"/>
      <c r="C189" s="13">
        <f t="shared" si="8"/>
        <v>0</v>
      </c>
      <c r="D189" s="13"/>
      <c r="E189" s="13"/>
      <c r="F189" s="13">
        <f t="shared" si="9"/>
        <v>0</v>
      </c>
      <c r="G189" s="13"/>
    </row>
    <row r="190" spans="1:7" ht="12.75">
      <c r="A190" s="26" t="s">
        <v>69</v>
      </c>
      <c r="B190" s="7"/>
      <c r="C190" s="13">
        <f t="shared" si="8"/>
        <v>0</v>
      </c>
      <c r="D190" s="13"/>
      <c r="E190" s="13"/>
      <c r="F190" s="13">
        <f t="shared" si="9"/>
        <v>0</v>
      </c>
      <c r="G190" s="13"/>
    </row>
    <row r="191" spans="1:7" ht="12.75">
      <c r="A191" s="26" t="s">
        <v>101</v>
      </c>
      <c r="B191" s="7"/>
      <c r="C191" s="13">
        <f t="shared" si="8"/>
        <v>0</v>
      </c>
      <c r="D191" s="13"/>
      <c r="E191" s="13"/>
      <c r="F191" s="13">
        <f t="shared" si="9"/>
        <v>0</v>
      </c>
      <c r="G191" s="13"/>
    </row>
    <row r="192" spans="1:7" ht="20.25" customHeight="1">
      <c r="A192" s="261" t="s">
        <v>102</v>
      </c>
      <c r="B192" s="261"/>
      <c r="C192" s="262">
        <f>+C167+C168+C169+C170+C171+C172+C177+C178+C179+C180+C181+C186+C187+C188+C189+C190+C191</f>
        <v>24235.72</v>
      </c>
      <c r="D192" s="262">
        <v>4214.37</v>
      </c>
      <c r="E192" s="262">
        <f>+E167+E168+E169+E170+E171+E172+E177+E178+E179+E180+E181+E186+E187+E188+E189+E190+E191</f>
        <v>0</v>
      </c>
      <c r="F192" s="262">
        <f>+F167+F168+F169+F170+F171+F172+F177+F178+F179+F180+F181+F186+F187+F188+F189+F190+F191</f>
        <v>28450.09</v>
      </c>
      <c r="G192" s="263">
        <f>+G167+G168+G169+G170+G171+G172+G177+G178+G179+G180+G181+G186+G187+G188+G189+G190+G191</f>
        <v>0</v>
      </c>
    </row>
    <row r="193" spans="3:7" ht="19.5" customHeight="1">
      <c r="C193" s="20"/>
      <c r="D193" s="20"/>
      <c r="E193" s="20"/>
      <c r="F193" s="20"/>
      <c r="G193" s="20"/>
    </row>
    <row r="194" spans="3:6" ht="19.5" customHeight="1">
      <c r="C194" s="20">
        <f>F162</f>
        <v>31075.403458812576</v>
      </c>
      <c r="D194">
        <f>'[2]Asset'!$D$223</f>
        <v>4290.601311724163</v>
      </c>
      <c r="F194" s="20">
        <f>C194+D194-E194</f>
        <v>35366.00477053674</v>
      </c>
    </row>
    <row r="195" ht="19.5" customHeight="1">
      <c r="A195" t="s">
        <v>637</v>
      </c>
    </row>
    <row r="196" ht="19.5" customHeight="1"/>
    <row r="197" ht="19.5" customHeight="1"/>
    <row r="198" ht="19.5" customHeight="1"/>
    <row r="199" ht="19.5" customHeight="1"/>
    <row r="200" ht="19.5" customHeight="1"/>
    <row r="201" ht="19.5" customHeight="1"/>
    <row r="202" ht="19.5" customHeight="1"/>
    <row r="203" ht="19.5" customHeight="1"/>
  </sheetData>
  <sheetProtection/>
  <mergeCells count="42">
    <mergeCell ref="E165:E166"/>
    <mergeCell ref="F165:F166"/>
    <mergeCell ref="G165:G166"/>
    <mergeCell ref="A165:A166"/>
    <mergeCell ref="B165:B166"/>
    <mergeCell ref="C165:C166"/>
    <mergeCell ref="D165:D166"/>
    <mergeCell ref="E133:E134"/>
    <mergeCell ref="F133:F134"/>
    <mergeCell ref="G133:G134"/>
    <mergeCell ref="A101:A102"/>
    <mergeCell ref="B101:B102"/>
    <mergeCell ref="A133:A134"/>
    <mergeCell ref="B133:B134"/>
    <mergeCell ref="C133:C134"/>
    <mergeCell ref="D133:D134"/>
    <mergeCell ref="C101:C102"/>
    <mergeCell ref="A5:A6"/>
    <mergeCell ref="D101:D102"/>
    <mergeCell ref="E101:E102"/>
    <mergeCell ref="G101:G102"/>
    <mergeCell ref="B69:B70"/>
    <mergeCell ref="C69:C70"/>
    <mergeCell ref="D69:D70"/>
    <mergeCell ref="E69:E70"/>
    <mergeCell ref="F101:F102"/>
    <mergeCell ref="F69:F70"/>
    <mergeCell ref="E37:E38"/>
    <mergeCell ref="F37:F38"/>
    <mergeCell ref="G37:G38"/>
    <mergeCell ref="A69:A70"/>
    <mergeCell ref="A37:A38"/>
    <mergeCell ref="B37:B38"/>
    <mergeCell ref="C37:C38"/>
    <mergeCell ref="D37:D38"/>
    <mergeCell ref="G69:G70"/>
    <mergeCell ref="B5:B6"/>
    <mergeCell ref="C5:C6"/>
    <mergeCell ref="D5:D6"/>
    <mergeCell ref="E5:E6"/>
    <mergeCell ref="F5:F6"/>
    <mergeCell ref="G5:G6"/>
  </mergeCells>
  <dataValidations count="1">
    <dataValidation type="decimal" allowBlank="1" showInputMessage="1" showErrorMessage="1" error="Enter in number format only" sqref="C133:F133 C165:F165 C101:F101 C37:F37 C5:F5 C69:F69">
      <formula1>-1000000000000000</formula1>
      <formula2>10000000000000000</formula2>
    </dataValidation>
  </dataValidations>
  <printOptions horizontalCentered="1"/>
  <pageMargins left="0.45" right="0.31" top="0.71" bottom="1" header="0.31" footer="0.5"/>
  <pageSetup horizontalDpi="600" verticalDpi="600" orientation="landscape" paperSize="9" r:id="rId1"/>
  <rowBreaks count="5" manualBreakCount="5">
    <brk id="34" max="6" man="1"/>
    <brk id="66" max="6" man="1"/>
    <brk id="98" max="6" man="1"/>
    <brk id="130" max="6" man="1"/>
    <brk id="16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APERC</cp:lastModifiedBy>
  <cp:lastPrinted>2018-11-30T10:05:30Z</cp:lastPrinted>
  <dcterms:created xsi:type="dcterms:W3CDTF">1996-10-14T23:33:28Z</dcterms:created>
  <dcterms:modified xsi:type="dcterms:W3CDTF">2018-12-14T06:02:15Z</dcterms:modified>
  <cp:category/>
  <cp:version/>
  <cp:contentType/>
  <cp:contentStatus/>
</cp:coreProperties>
</file>